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ttps://sage365.sharepoint.com/sites/za/pd/Compliance/PayrollAfrica/Nigeria/"/>
    </mc:Choice>
  </mc:AlternateContent>
  <xr:revisionPtr revIDLastSave="39" documentId="13_ncr:1_{ADBC38EE-48E9-4D3C-B746-52C50988D8F1}" xr6:coauthVersionLast="41" xr6:coauthVersionMax="43" xr10:uidLastSave="{5C87C4B7-2C9F-4E0F-A555-0E7935AC5DDA}"/>
  <bookViews>
    <workbookView xWindow="-108" yWindow="-108" windowWidth="23256" windowHeight="12576" activeTab="2" xr2:uid="{00000000-000D-0000-FFFF-FFFF00000000}"/>
  </bookViews>
  <sheets>
    <sheet name="Monthly Calc" sheetId="12" r:id="rId1"/>
    <sheet name="YTD Calc Days" sheetId="15" state="hidden" r:id="rId2"/>
    <sheet name="YTD Calc with periodics" sheetId="19" r:id="rId3"/>
    <sheet name="QUESTION" sheetId="18" state="hidden" r:id="rId4"/>
  </sheets>
  <definedNames>
    <definedName name="QUESTION">QUESTION!$A$1:$A$2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19" l="1"/>
  <c r="H17" i="19" l="1"/>
  <c r="H16" i="19"/>
  <c r="F25" i="19" l="1"/>
  <c r="F21" i="19"/>
  <c r="F18" i="12" l="1"/>
  <c r="F37" i="19" l="1"/>
  <c r="F27" i="19"/>
  <c r="F26" i="19"/>
  <c r="F22" i="19"/>
  <c r="F19" i="19"/>
  <c r="F23" i="19" l="1"/>
  <c r="F36" i="19" s="1"/>
  <c r="F28" i="19"/>
  <c r="F38" i="19" l="1"/>
  <c r="F32" i="19"/>
  <c r="F33" i="19" s="1"/>
  <c r="F30" i="19"/>
  <c r="F34" i="19" l="1"/>
  <c r="F43" i="19" s="1"/>
  <c r="F45" i="19" s="1"/>
  <c r="D61" i="19" s="1"/>
  <c r="F61" i="19" s="1"/>
  <c r="D57" i="19" l="1"/>
  <c r="F57" i="19" s="1"/>
  <c r="D56" i="19"/>
  <c r="F56" i="19" s="1"/>
  <c r="D60" i="19"/>
  <c r="F60" i="19" s="1"/>
  <c r="D59" i="19"/>
  <c r="F59" i="19" s="1"/>
  <c r="D58" i="19"/>
  <c r="F58" i="19" s="1"/>
  <c r="F62" i="19" l="1"/>
  <c r="F47" i="19" s="1"/>
  <c r="F48" i="19" s="1"/>
  <c r="D62" i="19"/>
  <c r="F49" i="19" l="1"/>
  <c r="F51" i="19" s="1"/>
  <c r="F40" i="15"/>
  <c r="F36" i="15"/>
  <c r="F37" i="15" s="1"/>
  <c r="F26" i="15"/>
  <c r="F27" i="15" s="1"/>
  <c r="F23" i="15"/>
  <c r="F39" i="15" l="1"/>
  <c r="F51" i="15"/>
  <c r="F24" i="15"/>
  <c r="F42" i="15"/>
  <c r="F41" i="15"/>
  <c r="F43" i="15" l="1"/>
  <c r="F44" i="15" s="1"/>
  <c r="F46" i="15" s="1"/>
  <c r="F48" i="15" s="1"/>
  <c r="D63" i="15" s="1"/>
  <c r="F63" i="15" s="1"/>
  <c r="D64" i="15" l="1"/>
  <c r="F64" i="15" s="1"/>
  <c r="D59" i="15"/>
  <c r="D60" i="15"/>
  <c r="F60" i="15" s="1"/>
  <c r="D61" i="15"/>
  <c r="F61" i="15" s="1"/>
  <c r="D62" i="15"/>
  <c r="F62" i="15" s="1"/>
  <c r="F59" i="15"/>
  <c r="D65" i="15" l="1"/>
  <c r="F65" i="15"/>
  <c r="F50" i="15" s="1"/>
  <c r="F52" i="15" s="1"/>
  <c r="F54" i="15" s="1"/>
  <c r="F21" i="12"/>
  <c r="C47" i="12"/>
  <c r="B47" i="12"/>
  <c r="B46" i="12"/>
  <c r="C45" i="12"/>
  <c r="C46" i="12"/>
  <c r="F16" i="12" l="1"/>
  <c r="F26" i="12" s="1"/>
  <c r="F37" i="12" l="1"/>
  <c r="F27" i="12"/>
  <c r="F28" i="12" s="1"/>
  <c r="F22" i="12"/>
  <c r="F23" i="12" s="1"/>
  <c r="F20" i="12"/>
  <c r="F24" i="12" l="1"/>
  <c r="F32" i="12" l="1"/>
  <c r="F34" i="12" s="1"/>
  <c r="D47" i="12" l="1"/>
  <c r="F47" i="12" s="1"/>
  <c r="D43" i="12"/>
  <c r="F43" i="12" s="1"/>
  <c r="D44" i="12"/>
  <c r="F44" i="12" s="1"/>
  <c r="D45" i="12"/>
  <c r="F45" i="12" s="1"/>
  <c r="D48" i="12"/>
  <c r="D46" i="12"/>
  <c r="F46" i="12" s="1"/>
  <c r="D49" i="12" l="1"/>
  <c r="F48" i="12"/>
  <c r="F49" i="12" s="1"/>
  <c r="F36" i="12" s="1"/>
  <c r="F3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4" authorId="0" shapeId="0" xr:uid="{00000000-0006-0000-0000-000001000000}">
      <text>
        <r>
          <rPr>
            <b/>
            <sz val="9"/>
            <color indexed="81"/>
            <rFont val="Tahoma"/>
            <family val="2"/>
          </rPr>
          <t>Ramakuela, Jacqui:</t>
        </r>
        <r>
          <rPr>
            <sz val="9"/>
            <color indexed="81"/>
            <rFont val="Tahoma"/>
            <family val="2"/>
          </rPr>
          <t xml:space="preserve">
excluding exempt income below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2" authorId="0" shapeId="0" xr:uid="{00000000-0006-0000-0100-000001000000}">
      <text>
        <r>
          <rPr>
            <b/>
            <sz val="9"/>
            <color indexed="81"/>
            <rFont val="Tahoma"/>
            <family val="2"/>
          </rPr>
          <t>Ramakuela, Jacqui:</t>
        </r>
        <r>
          <rPr>
            <sz val="9"/>
            <color indexed="81"/>
            <rFont val="Tahoma"/>
            <family val="2"/>
          </rPr>
          <t xml:space="preserve">
Amount must be greater than 0 but not more than 365</t>
        </r>
      </text>
    </comment>
    <comment ref="F17" authorId="0" shapeId="0" xr:uid="{00000000-0006-0000-0100-000002000000}">
      <text>
        <r>
          <rPr>
            <b/>
            <sz val="9"/>
            <color indexed="81"/>
            <rFont val="Tahoma"/>
            <family val="2"/>
          </rPr>
          <t>Ramakuela, Jacqui:</t>
        </r>
        <r>
          <rPr>
            <sz val="9"/>
            <color indexed="81"/>
            <rFont val="Tahoma"/>
            <family val="2"/>
          </rPr>
          <t xml:space="preserve">
Excludes any exempt income below</t>
        </r>
      </text>
    </comment>
    <comment ref="F52" authorId="0" shapeId="0" xr:uid="{00000000-0006-0000-0100-000003000000}">
      <text>
        <r>
          <rPr>
            <b/>
            <sz val="9"/>
            <color indexed="81"/>
            <rFont val="Tahoma"/>
            <family val="2"/>
          </rPr>
          <t>Ramakuela, Jacqui:</t>
        </r>
        <r>
          <rPr>
            <sz val="9"/>
            <color indexed="81"/>
            <rFont val="Tahoma"/>
            <family val="2"/>
          </rPr>
          <t xml:space="preserve">
Annual Tax / 12 months x no. of months worked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15" authorId="0" shapeId="0" xr:uid="{00000000-0006-0000-0200-000002000000}">
      <text>
        <r>
          <rPr>
            <b/>
            <sz val="9"/>
            <color indexed="81"/>
            <rFont val="Tahoma"/>
            <family val="2"/>
          </rPr>
          <t>Ramakuela, Jacqui:</t>
        </r>
        <r>
          <rPr>
            <sz val="9"/>
            <color indexed="81"/>
            <rFont val="Tahoma"/>
            <family val="2"/>
          </rPr>
          <t xml:space="preserve">
Excludes any exempt income below</t>
        </r>
      </text>
    </comment>
    <comment ref="F18" authorId="0" shapeId="0" xr:uid="{00000000-0006-0000-0200-000003000000}">
      <text>
        <r>
          <rPr>
            <b/>
            <sz val="9"/>
            <color indexed="81"/>
            <rFont val="Tahoma"/>
            <family val="2"/>
          </rPr>
          <t>Ramakuela, Jacqui:</t>
        </r>
        <r>
          <rPr>
            <sz val="9"/>
            <color indexed="81"/>
            <rFont val="Tahoma"/>
            <family val="2"/>
          </rPr>
          <t xml:space="preserve">
All annual exempt income, including the Gratuity and Severance Pay</t>
        </r>
      </text>
    </comment>
    <comment ref="F22" authorId="0" shapeId="0" xr:uid="{00000000-0006-0000-0200-000004000000}">
      <text>
        <r>
          <rPr>
            <b/>
            <sz val="9"/>
            <color indexed="81"/>
            <rFont val="Tahoma"/>
            <family val="2"/>
          </rPr>
          <t>Ramakuela, Jacqui:</t>
        </r>
        <r>
          <rPr>
            <sz val="9"/>
            <color indexed="81"/>
            <rFont val="Tahoma"/>
            <family val="2"/>
          </rPr>
          <t xml:space="preserve">
for the calculation of the gross income, the periodics include the taxable and exempt income</t>
        </r>
      </text>
    </comment>
    <comment ref="F48" authorId="0" shapeId="0" xr:uid="{00000000-0006-0000-0200-000005000000}">
      <text>
        <r>
          <rPr>
            <b/>
            <sz val="9"/>
            <color indexed="81"/>
            <rFont val="Tahoma"/>
            <family val="2"/>
          </rPr>
          <t>Ramakuela, Jacqui:</t>
        </r>
        <r>
          <rPr>
            <sz val="9"/>
            <color indexed="81"/>
            <rFont val="Tahoma"/>
            <family val="2"/>
          </rPr>
          <t xml:space="preserve">
If the annual tax is less than 1% of annual gross income then the 1% of annual gross income will be used as annual tax instead of the actual annual tax.</t>
        </r>
      </text>
    </comment>
    <comment ref="F49"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<sst xmlns="http://schemas.openxmlformats.org/spreadsheetml/2006/main" count="130" uniqueCount="90">
  <si>
    <t>Pension</t>
  </si>
  <si>
    <t>NHF</t>
  </si>
  <si>
    <t>Taxable Income</t>
  </si>
  <si>
    <t>Tax rate</t>
  </si>
  <si>
    <t>Tax per bracket</t>
  </si>
  <si>
    <t>Life Insurance</t>
  </si>
  <si>
    <t>NHIS</t>
  </si>
  <si>
    <t>PAYE for current period</t>
  </si>
  <si>
    <t xml:space="preserve">Annual Tax Bracket </t>
  </si>
  <si>
    <t>Basic Salary</t>
  </si>
  <si>
    <t>Fringe Benefits</t>
  </si>
  <si>
    <t>YTD+</t>
  </si>
  <si>
    <t xml:space="preserve">Child Allowance </t>
  </si>
  <si>
    <t>Dependent Relative Allowance</t>
  </si>
  <si>
    <t>Gratuity - exempt</t>
  </si>
  <si>
    <t>Severance Pay - exempt</t>
  </si>
  <si>
    <t>Enter amounts only in the grey fields</t>
  </si>
  <si>
    <t>Naira</t>
  </si>
  <si>
    <t>Gross Income</t>
  </si>
  <si>
    <t>20% Gross Income</t>
  </si>
  <si>
    <t>Plus the higher of 16 667 and 1% of Gross Income</t>
  </si>
  <si>
    <t>Total Reliefs &amp; Deductions</t>
  </si>
  <si>
    <t>Net Taxable Income</t>
  </si>
  <si>
    <t>1% of Gross Income</t>
  </si>
  <si>
    <t>Other Reliefs/deduction</t>
  </si>
  <si>
    <t>and above</t>
  </si>
  <si>
    <t>From</t>
  </si>
  <si>
    <t>To</t>
  </si>
  <si>
    <t>PAYE</t>
  </si>
  <si>
    <t>1% minimum Tax</t>
  </si>
  <si>
    <t>Enter number of months worked</t>
  </si>
  <si>
    <t>Annualised Gross Income</t>
  </si>
  <si>
    <t>Annualised Taxable Income</t>
  </si>
  <si>
    <t>Annualised allowable deductions</t>
  </si>
  <si>
    <t>200000 p.a.</t>
  </si>
  <si>
    <t>Annual tax</t>
  </si>
  <si>
    <t>YTD+ Consolidated Relief Allowance</t>
  </si>
  <si>
    <t>Annualised Consolidated Relief Allowance</t>
  </si>
  <si>
    <t>Total Annualised Reliefs &amp; Deductions</t>
  </si>
  <si>
    <t>Net Annualised Taxable Income</t>
  </si>
  <si>
    <t>NIGERIA</t>
  </si>
  <si>
    <t>Plus the higher of 200 000(pro rata) and 1% of Gross Income</t>
  </si>
  <si>
    <t>YTD+ Gross Income</t>
  </si>
  <si>
    <t>YTD+ Taxable Income</t>
  </si>
  <si>
    <t>Less YTD Tax paid from previous periods</t>
  </si>
  <si>
    <t>Other earnings/allowances</t>
  </si>
  <si>
    <t>Company Contributions</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</si>
  <si>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</si>
  <si>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YTD+ Allowable deductions</t>
  </si>
  <si>
    <t xml:space="preserve"> / 365</t>
  </si>
  <si>
    <t xml:space="preserve"> / 12</t>
  </si>
  <si>
    <t>YTD\Annual Tax Calculation - 2015</t>
  </si>
  <si>
    <t>Enter number of days worked in the tax year</t>
  </si>
  <si>
    <t xml:space="preserve">Monthly Tax Bracket </t>
  </si>
  <si>
    <t>Consolidated Relief Allowance</t>
  </si>
  <si>
    <t>YTD+ Total Income</t>
  </si>
  <si>
    <t>Annual Gross Income</t>
  </si>
  <si>
    <t>Other exempt income</t>
  </si>
  <si>
    <r>
      <t xml:space="preserve">Periodic Income </t>
    </r>
    <r>
      <rPr>
        <i/>
        <sz val="10"/>
        <color theme="0" tint="-0.499984740745262"/>
        <rFont val="Calibri"/>
        <family val="2"/>
        <scheme val="minor"/>
      </rPr>
      <t>taxable annual payments</t>
    </r>
  </si>
  <si>
    <t>YTD+ Normal Taxable Income</t>
  </si>
  <si>
    <t>Plus Taxable Periodic Income</t>
  </si>
  <si>
    <t>YTD+ Tax</t>
  </si>
  <si>
    <r>
      <t>Annual Minimum Tax</t>
    </r>
    <r>
      <rPr>
        <i/>
        <sz val="10"/>
        <color theme="0" tint="-0.499984740745262"/>
        <rFont val="Calibri"/>
        <family val="2"/>
        <scheme val="minor"/>
      </rPr>
      <t xml:space="preserve"> 1% of Annual Gross</t>
    </r>
  </si>
  <si>
    <t>Other exempt income - normal</t>
  </si>
  <si>
    <t>Other exempt income - periodic</t>
  </si>
  <si>
    <t>Exempt income</t>
  </si>
  <si>
    <t>20% Annual Gross Income</t>
  </si>
  <si>
    <t>Plus the higher of 200 000 and 1% of Annual Gross Income</t>
  </si>
  <si>
    <t>Annual Consolidated Relief Allowance</t>
  </si>
  <si>
    <t>Annual Taxable Income</t>
  </si>
  <si>
    <t>Total Annual Reliefs &amp; Deductions</t>
  </si>
  <si>
    <t>Net Annual Taxable Income</t>
  </si>
  <si>
    <t xml:space="preserve">Periodic </t>
  </si>
  <si>
    <t>20% of Gross Income</t>
  </si>
  <si>
    <t>Annual Disability deduction</t>
  </si>
  <si>
    <t>Is employee disabled?</t>
  </si>
  <si>
    <t>YES</t>
  </si>
  <si>
    <t>NO</t>
  </si>
  <si>
    <r>
      <rPr>
        <b/>
        <sz val="11"/>
        <color rgb="FF00B050"/>
        <rFont val="Calibri"/>
        <family val="2"/>
        <scheme val="minor"/>
      </rPr>
      <t xml:space="preserve">Annual Minimum Tax </t>
    </r>
    <r>
      <rPr>
        <sz val="11"/>
        <color rgb="FF00B050"/>
        <rFont val="Calibri"/>
        <family val="2"/>
        <scheme val="minor"/>
      </rPr>
      <t>- 1% of Annual Gross Income</t>
    </r>
  </si>
  <si>
    <t>Annual Normal Taxable Income</t>
  </si>
  <si>
    <t>Annual Normal Income</t>
  </si>
  <si>
    <r>
      <t xml:space="preserve">Other Income </t>
    </r>
    <r>
      <rPr>
        <i/>
        <sz val="10"/>
        <color theme="0" tint="-0.499984740745262"/>
        <rFont val="Calibri"/>
        <family val="2"/>
        <scheme val="minor"/>
      </rPr>
      <t>earnings/benefits/CC</t>
    </r>
  </si>
  <si>
    <t>Annual deductions and reliefs</t>
  </si>
  <si>
    <t>Higher of N250 and</t>
  </si>
  <si>
    <t>Higher of N3000 and</t>
  </si>
  <si>
    <r>
      <t>YTD+ deductions and reliefs</t>
    </r>
    <r>
      <rPr>
        <sz val="10"/>
        <color theme="0" tint="-0.499984740745262"/>
        <rFont val="Calibri"/>
        <family val="2"/>
        <scheme val="minor"/>
      </rPr>
      <t xml:space="preserve"> </t>
    </r>
    <r>
      <rPr>
        <i/>
        <sz val="10"/>
        <color theme="0" tint="-0.499984740745262"/>
        <rFont val="Calibri"/>
        <family val="2"/>
        <scheme val="minor"/>
      </rPr>
      <t>excl. CRA and disability</t>
    </r>
  </si>
  <si>
    <r>
      <t>Other deductions and reliefs</t>
    </r>
    <r>
      <rPr>
        <sz val="10"/>
        <color theme="0" tint="-0.499984740745262"/>
        <rFont val="Calibri"/>
        <family val="2"/>
        <scheme val="minor"/>
      </rPr>
      <t xml:space="preserve"> </t>
    </r>
    <r>
      <rPr>
        <i/>
        <sz val="10"/>
        <color theme="0" tint="-0.499984740745262"/>
        <rFont val="Calibri"/>
        <family val="2"/>
        <scheme val="minor"/>
      </rPr>
      <t>excl. CRA and disability</t>
    </r>
  </si>
  <si>
    <r>
      <t xml:space="preserve">Monthly Tax Calculator - </t>
    </r>
    <r>
      <rPr>
        <b/>
        <sz val="18"/>
        <rFont val="Calibri"/>
        <family val="2"/>
        <scheme val="minor"/>
      </rPr>
      <t>2019</t>
    </r>
  </si>
  <si>
    <r>
      <t xml:space="preserve">Annual PAYE Calculator - </t>
    </r>
    <r>
      <rPr>
        <b/>
        <sz val="18"/>
        <rFont val="Calibri"/>
        <family val="2"/>
        <scheme val="minor"/>
      </rPr>
      <t>2019</t>
    </r>
  </si>
  <si>
    <t>20000+F15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</si>
</sst>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0"/>
      <name val="Arial"/>
      <family val="2"/>
    </font>
    <font>
      <sz val="10"/>
      <name val="Arial"/>
      <family val="2"/>
    </font>
    <font>
      <b/>
      <sz val="11"/>
      <color theme="3"/>
      <name val="Calibri"/>
      <family val="2"/>
      <scheme val="minor"/>
    </font>
    <font>
      <b/>
      <sz val="11"/>
      <color theme="0"/>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u/>
      <sz val="11"/>
      <name val="Calibri"/>
      <family val="2"/>
      <scheme val="minor"/>
    </font>
    <font>
      <sz val="11"/>
      <color theme="3"/>
      <name val="Calibri"/>
      <family val="2"/>
      <scheme val="minor"/>
    </font>
    <font>
      <sz val="11"/>
      <color theme="1" tint="0.34998626667073579"/>
      <name val="Calibri"/>
      <family val="2"/>
      <scheme val="minor"/>
    </font>
    <font>
      <sz val="11"/>
      <color theme="0" tint="-0.499984740745262"/>
      <name val="Calibri"/>
      <family val="2"/>
      <scheme val="minor"/>
    </font>
    <font>
      <b/>
      <sz val="18"/>
      <name val="Calibri"/>
      <family val="2"/>
      <scheme val="minor"/>
    </font>
    <font>
      <b/>
      <sz val="18"/>
      <color theme="1"/>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1"/>
      <color theme="1"/>
      <name val="Calibri"/>
      <family val="2"/>
      <scheme val="minor"/>
    </font>
    <font>
      <i/>
      <sz val="10"/>
      <color theme="0" tint="-0.499984740745262"/>
      <name val="Calibri"/>
      <family val="2"/>
      <scheme val="minor"/>
    </font>
    <font>
      <i/>
      <sz val="11"/>
      <color theme="0" tint="-0.249977111117893"/>
      <name val="Calibri"/>
      <family val="2"/>
      <scheme val="minor"/>
    </font>
    <font>
      <b/>
      <sz val="14"/>
      <color rgb="FFFF3300"/>
      <name val="Calibri"/>
      <family val="2"/>
      <scheme val="minor"/>
    </font>
    <font>
      <i/>
      <sz val="11"/>
      <color rgb="FF00B050"/>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82">
    <xf numFmtId="0" fontId="0" fillId="0" borderId="0" xfId="0"/>
    <xf numFmtId="0" fontId="2" fillId="0" borderId="0" xfId="0" applyFont="1"/>
    <xf numFmtId="0" fontId="1" fillId="0" borderId="0" xfId="0" applyFont="1"/>
    <xf numFmtId="0" fontId="5" fillId="0" borderId="0" xfId="0" applyFont="1" applyAlignment="1">
      <alignment horizontal="center" vertical="center" wrapText="1"/>
    </xf>
    <xf numFmtId="0" fontId="6"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7" fillId="0" borderId="0" xfId="0" applyFont="1" applyAlignment="1">
      <alignment horizontal="right"/>
    </xf>
    <xf numFmtId="0" fontId="8" fillId="0" borderId="0" xfId="0" applyFont="1"/>
    <xf numFmtId="0" fontId="3" fillId="0" borderId="0" xfId="0" applyFont="1" applyAlignment="1">
      <alignment horizontal="right"/>
    </xf>
    <xf numFmtId="0" fontId="9" fillId="0" borderId="0" xfId="0" applyFont="1"/>
    <xf numFmtId="16" fontId="10" fillId="0" borderId="0" xfId="0" quotePrefix="1" applyNumberFormat="1" applyFont="1" applyAlignment="1">
      <alignment horizontal="right"/>
    </xf>
    <xf numFmtId="16" fontId="11" fillId="0" borderId="0" xfId="0" quotePrefix="1" applyNumberFormat="1" applyFont="1" applyAlignment="1">
      <alignment horizontal="center"/>
    </xf>
    <xf numFmtId="16" fontId="12" fillId="0" borderId="0" xfId="0" quotePrefix="1" applyNumberFormat="1" applyFont="1" applyAlignment="1">
      <alignment horizontal="center"/>
    </xf>
    <xf numFmtId="0" fontId="3" fillId="0" borderId="0" xfId="0" quotePrefix="1" applyFont="1" applyAlignment="1">
      <alignment horizontal="right"/>
    </xf>
    <xf numFmtId="4" fontId="12" fillId="0" borderId="0" xfId="0" applyNumberFormat="1" applyFont="1"/>
    <xf numFmtId="0" fontId="12" fillId="0" borderId="0" xfId="0" applyFont="1"/>
    <xf numFmtId="4" fontId="13" fillId="0" borderId="0" xfId="0" applyNumberFormat="1" applyFont="1"/>
    <xf numFmtId="0" fontId="10" fillId="0" borderId="0" xfId="0" applyFont="1"/>
    <xf numFmtId="4" fontId="10" fillId="0" borderId="1" xfId="0" applyNumberFormat="1" applyFont="1" applyBorder="1"/>
    <xf numFmtId="4" fontId="10" fillId="0" borderId="0" xfId="0" applyNumberFormat="1" applyFont="1"/>
    <xf numFmtId="4" fontId="12" fillId="0" borderId="0" xfId="0" applyNumberFormat="1" applyFont="1" applyAlignment="1">
      <alignment horizontal="left"/>
    </xf>
    <xf numFmtId="4" fontId="14" fillId="0" borderId="0" xfId="0" applyNumberFormat="1" applyFont="1"/>
    <xf numFmtId="4" fontId="3" fillId="0" borderId="0" xfId="0" applyNumberFormat="1" applyFont="1"/>
    <xf numFmtId="0" fontId="11" fillId="0" borderId="0" xfId="0" applyFont="1" applyAlignment="1">
      <alignment horizontal="right"/>
    </xf>
    <xf numFmtId="4" fontId="15" fillId="0" borderId="0" xfId="0" applyNumberFormat="1" applyFont="1"/>
    <xf numFmtId="4" fontId="12" fillId="0" borderId="2" xfId="0" applyNumberFormat="1" applyFont="1" applyBorder="1"/>
    <xf numFmtId="9" fontId="12" fillId="0" borderId="2" xfId="0" applyNumberFormat="1" applyFont="1" applyBorder="1" applyAlignment="1">
      <alignment horizontal="center"/>
    </xf>
    <xf numFmtId="4" fontId="10" fillId="0" borderId="3" xfId="0" applyNumberFormat="1" applyFont="1" applyBorder="1"/>
    <xf numFmtId="3" fontId="10" fillId="0" borderId="1" xfId="0" applyNumberFormat="1" applyFont="1" applyBorder="1" applyAlignment="1">
      <alignment horizontal="center"/>
    </xf>
    <xf numFmtId="4" fontId="12" fillId="2" borderId="2" xfId="0" applyNumberFormat="1" applyFont="1" applyFill="1" applyBorder="1" applyAlignment="1">
      <alignment vertical="center"/>
    </xf>
    <xf numFmtId="4" fontId="16" fillId="0" borderId="0" xfId="0" applyNumberFormat="1" applyFont="1"/>
    <xf numFmtId="4" fontId="17" fillId="0" borderId="0" xfId="0" applyNumberFormat="1" applyFont="1" applyAlignment="1">
      <alignment horizontal="left"/>
    </xf>
    <xf numFmtId="4" fontId="17" fillId="0" borderId="0" xfId="0" applyNumberFormat="1" applyFont="1"/>
    <xf numFmtId="4" fontId="10" fillId="0" borderId="4" xfId="0" applyNumberFormat="1" applyFont="1" applyBorder="1"/>
    <xf numFmtId="0" fontId="16" fillId="0" borderId="0" xfId="0" applyFont="1"/>
    <xf numFmtId="0" fontId="12" fillId="2" borderId="2" xfId="0" applyFont="1" applyFill="1" applyBorder="1" applyAlignment="1">
      <alignment horizontal="right" vertical="center"/>
    </xf>
    <xf numFmtId="4" fontId="12" fillId="2" borderId="7" xfId="0" applyNumberFormat="1" applyFont="1" applyFill="1" applyBorder="1" applyAlignment="1">
      <alignment vertical="center"/>
    </xf>
    <xf numFmtId="4" fontId="12" fillId="0" borderId="7" xfId="0" applyNumberFormat="1" applyFont="1" applyBorder="1"/>
    <xf numFmtId="9" fontId="12" fillId="0" borderId="7" xfId="0" applyNumberFormat="1" applyFont="1" applyBorder="1" applyAlignment="1">
      <alignment horizontal="center"/>
    </xf>
    <xf numFmtId="0" fontId="5" fillId="3" borderId="6" xfId="0" applyFont="1" applyFill="1" applyBorder="1" applyAlignment="1">
      <alignment horizontal="center" vertical="center"/>
    </xf>
    <xf numFmtId="0" fontId="13" fillId="0" borderId="0" xfId="0" applyFont="1"/>
    <xf numFmtId="16" fontId="4" fillId="3" borderId="0" xfId="0" quotePrefix="1" applyNumberFormat="1" applyFont="1" applyFill="1" applyAlignment="1">
      <alignment horizontal="right"/>
    </xf>
    <xf numFmtId="16" fontId="12" fillId="0" borderId="0" xfId="0" quotePrefix="1" applyNumberFormat="1" applyFont="1" applyAlignment="1">
      <alignment horizontal="right"/>
    </xf>
    <xf numFmtId="0" fontId="15" fillId="0" borderId="0" xfId="0" quotePrefix="1" applyFont="1" applyAlignment="1">
      <alignment horizontal="right"/>
    </xf>
    <xf numFmtId="0" fontId="18" fillId="0" borderId="0" xfId="0" applyFont="1" applyAlignment="1">
      <alignment vertical="center"/>
    </xf>
    <xf numFmtId="0" fontId="19" fillId="0" borderId="0" xfId="0" applyFont="1"/>
    <xf numFmtId="0" fontId="20" fillId="0" borderId="0" xfId="0" applyFont="1" applyAlignment="1">
      <alignment vertical="center"/>
    </xf>
    <xf numFmtId="0" fontId="11" fillId="0" borderId="0" xfId="0" applyFont="1" applyAlignment="1">
      <alignment vertical="center"/>
    </xf>
    <xf numFmtId="2" fontId="21" fillId="0" borderId="0" xfId="0" applyNumberFormat="1" applyFont="1" applyAlignment="1">
      <alignment horizontal="right"/>
    </xf>
    <xf numFmtId="4" fontId="12" fillId="4" borderId="0" xfId="0" applyNumberFormat="1" applyFont="1" applyFill="1" applyProtection="1">
      <protection locked="0"/>
    </xf>
    <xf numFmtId="4" fontId="16" fillId="5" borderId="0" xfId="0" applyNumberFormat="1" applyFont="1" applyFill="1" applyProtection="1">
      <protection locked="0"/>
    </xf>
    <xf numFmtId="4" fontId="10" fillId="4" borderId="5" xfId="0" applyNumberFormat="1" applyFont="1" applyFill="1" applyBorder="1" applyProtection="1">
      <protection locked="0"/>
    </xf>
    <xf numFmtId="1" fontId="0" fillId="4" borderId="0" xfId="0" applyNumberFormat="1" applyFill="1" applyAlignment="1" applyProtection="1">
      <alignment vertical="center"/>
      <protection locked="0"/>
    </xf>
    <xf numFmtId="0" fontId="24" fillId="0" borderId="0" xfId="0" quotePrefix="1" applyFont="1" applyAlignment="1">
      <alignment horizontal="left" vertical="center"/>
    </xf>
    <xf numFmtId="0" fontId="24" fillId="0" borderId="0" xfId="0" quotePrefix="1" applyFont="1" applyAlignment="1">
      <alignment vertical="center"/>
    </xf>
    <xf numFmtId="0" fontId="25" fillId="0" borderId="0" xfId="0" applyFont="1"/>
    <xf numFmtId="0" fontId="11" fillId="0" borderId="0" xfId="0" applyFont="1"/>
    <xf numFmtId="4" fontId="11" fillId="0" borderId="0" xfId="0" applyNumberFormat="1" applyFont="1"/>
    <xf numFmtId="0" fontId="27" fillId="0" borderId="0" xfId="0" applyFont="1"/>
    <xf numFmtId="4" fontId="12" fillId="5" borderId="0" xfId="0" applyNumberFormat="1" applyFont="1" applyFill="1" applyProtection="1">
      <protection locked="0"/>
    </xf>
    <xf numFmtId="0" fontId="3" fillId="0" borderId="0" xfId="0" quotePrefix="1"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center"/>
    </xf>
    <xf numFmtId="0" fontId="0" fillId="0" borderId="0" xfId="0" applyAlignment="1">
      <alignment horizontal="left" vertical="center"/>
    </xf>
    <xf numFmtId="4" fontId="12" fillId="0" borderId="0" xfId="0" applyNumberFormat="1" applyFont="1" applyAlignment="1">
      <alignment horizontal="left" vertical="center"/>
    </xf>
    <xf numFmtId="4" fontId="12" fillId="0" borderId="0" xfId="0" applyNumberFormat="1" applyFont="1" applyAlignment="1">
      <alignment horizontal="right" vertical="center"/>
    </xf>
    <xf numFmtId="4" fontId="10" fillId="0" borderId="1" xfId="0" applyNumberFormat="1" applyFont="1" applyBorder="1" applyAlignment="1">
      <alignment horizontal="right" vertical="center"/>
    </xf>
    <xf numFmtId="1" fontId="25" fillId="4" borderId="0" xfId="0" applyNumberFormat="1" applyFont="1" applyFill="1" applyAlignment="1" applyProtection="1">
      <alignment vertical="center"/>
      <protection locked="0"/>
    </xf>
    <xf numFmtId="1" fontId="25" fillId="5" borderId="0" xfId="0" applyNumberFormat="1" applyFont="1" applyFill="1" applyAlignment="1" applyProtection="1">
      <alignment horizontal="center" vertical="center"/>
      <protection locked="0"/>
    </xf>
    <xf numFmtId="4" fontId="9" fillId="0" borderId="0" xfId="0" applyNumberFormat="1" applyFont="1"/>
    <xf numFmtId="2" fontId="28" fillId="0" borderId="0" xfId="0" applyNumberFormat="1" applyFont="1" applyAlignment="1">
      <alignment horizontal="right"/>
    </xf>
    <xf numFmtId="4" fontId="12" fillId="6" borderId="0" xfId="0" applyNumberFormat="1" applyFont="1" applyFill="1" applyProtection="1">
      <protection locked="0"/>
    </xf>
    <xf numFmtId="0" fontId="29" fillId="0" borderId="0" xfId="0" applyFont="1"/>
    <xf numFmtId="0" fontId="29" fillId="0" borderId="0" xfId="0" applyFont="1" applyAlignment="1">
      <alignment vertical="top"/>
    </xf>
    <xf numFmtId="0" fontId="5" fillId="3" borderId="6" xfId="0" applyFont="1" applyFill="1" applyBorder="1" applyAlignment="1">
      <alignment horizontal="center" vertical="center"/>
    </xf>
    <xf numFmtId="4" fontId="5" fillId="3" borderId="6"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9523</xdr:colOff>
      <xdr:row>0</xdr:row>
      <xdr:rowOff>171450</xdr:rowOff>
    </xdr:from>
    <xdr:to>
      <xdr:col>2</xdr:col>
      <xdr:colOff>180975</xdr:colOff>
      <xdr:row>4</xdr:row>
      <xdr:rowOff>19049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48" y="171450"/>
          <a:ext cx="1485902" cy="6095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390525</xdr:colOff>
      <xdr:row>6</xdr:row>
      <xdr:rowOff>19214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72637"/>
        <a:stretch/>
      </xdr:blipFill>
      <xdr:spPr>
        <a:xfrm>
          <a:off x="581025" y="190500"/>
          <a:ext cx="1704975" cy="971714"/>
        </a:xfrm>
        <a:prstGeom prst="rect">
          <a:avLst/>
        </a:prstGeom>
      </xdr:spPr>
    </xdr:pic>
    <xdr:clientData/>
  </xdr:twoCellAnchor>
  <xdr:twoCellAnchor editAs="oneCell">
    <xdr:from>
      <xdr:col>4</xdr:col>
      <xdr:colOff>371475</xdr:colOff>
      <xdr:row>1</xdr:row>
      <xdr:rowOff>142875</xdr:rowOff>
    </xdr:from>
    <xdr:to>
      <xdr:col>6</xdr:col>
      <xdr:colOff>12701</xdr:colOff>
      <xdr:row>5</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95850" y="333375"/>
          <a:ext cx="2270126"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9526</xdr:rowOff>
    </xdr:from>
    <xdr:to>
      <xdr:col>2</xdr:col>
      <xdr:colOff>66675</xdr:colOff>
      <xdr:row>3</xdr:row>
      <xdr:rowOff>133350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200026"/>
          <a:ext cx="1485900" cy="60007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7"/>
  <sheetViews>
    <sheetView showGridLines="0" topLeftCell="A23" zoomScaleNormal="100" zoomScaleSheetLayoutView="100" workbookViewId="0">
      <selection activeCell="F15" sqref="F15"/>
    </sheetView>
  </sheetViews>
  <sheetFormatPr defaultColWidth="9.109375" defaultRowHeight="13.8" x14ac:dyDescent="0.3"/>
  <cols>
    <col min="1" max="1" width="8.6640625" style="10" customWidth="1"/>
    <col min="2" max="6" width="19.6640625" style="11" customWidth="1"/>
    <col min="7" max="7" width="9.88671875" style="11" customWidth="1"/>
    <col min="8" max="8" width="18" style="11" customWidth="1"/>
    <col min="9" max="9" width="57" style="11" bestFit="1" customWidth="1"/>
    <col min="10" max="10" width="13.6640625" style="11" customWidth="1"/>
    <col min="11" max="16384" width="9.109375" style="11"/>
  </cols>
  <sheetData>
    <row r="1" spans="1:21" customFormat="1" ht="14.4" x14ac:dyDescent="0.3">
      <c r="F1" s="5"/>
      <c r="G1" s="5"/>
    </row>
    <row r="2" spans="1:21" customFormat="1" ht="14.4" x14ac:dyDescent="0.3">
      <c r="F2" s="5"/>
      <c r="G2" s="5"/>
    </row>
    <row r="3" spans="1:21" customFormat="1" ht="14.4" x14ac:dyDescent="0.3">
      <c r="F3" s="5"/>
      <c r="G3" s="5"/>
    </row>
    <row r="4" spans="1:21" customFormat="1" ht="14.4" x14ac:dyDescent="0.3">
      <c r="F4" s="5"/>
      <c r="G4" s="5"/>
    </row>
    <row r="5" spans="1:21" customFormat="1" ht="14.4" x14ac:dyDescent="0.3">
      <c r="F5" s="5"/>
      <c r="G5" s="5"/>
    </row>
    <row r="6" spans="1:21" customFormat="1" ht="30" customHeight="1" x14ac:dyDescent="0.55000000000000004">
      <c r="B6" s="50" t="s">
        <v>87</v>
      </c>
      <c r="C6" s="48"/>
      <c r="D6" s="48"/>
      <c r="E6" s="48"/>
      <c r="F6" s="52" t="s">
        <v>40</v>
      </c>
      <c r="G6" s="5"/>
    </row>
    <row r="7" spans="1:21" customFormat="1" ht="15.75" customHeight="1" x14ac:dyDescent="0.3">
      <c r="F7" s="5"/>
      <c r="G7" s="5"/>
      <c r="T7" s="3"/>
      <c r="U7" s="3"/>
    </row>
    <row r="8" spans="1:21" s="6" customFormat="1" ht="20.25" customHeight="1" x14ac:dyDescent="0.3">
      <c r="B8" s="4" t="s">
        <v>16</v>
      </c>
      <c r="C8" s="4"/>
      <c r="D8" s="4"/>
      <c r="E8" s="4"/>
      <c r="F8" s="7"/>
      <c r="G8" s="7"/>
      <c r="T8" s="8"/>
      <c r="U8" s="9"/>
    </row>
    <row r="9" spans="1:21" s="6" customFormat="1" ht="20.25" customHeight="1" x14ac:dyDescent="0.3">
      <c r="B9" s="4"/>
      <c r="C9" s="4"/>
      <c r="D9" s="4"/>
      <c r="E9" s="4"/>
      <c r="F9" s="7"/>
      <c r="G9" s="7"/>
      <c r="T9" s="8"/>
      <c r="U9" s="9"/>
    </row>
    <row r="10" spans="1:21" s="6" customFormat="1" ht="20.25" customHeight="1" x14ac:dyDescent="0.3">
      <c r="B10" s="18" t="s">
        <v>75</v>
      </c>
      <c r="C10" s="4"/>
      <c r="D10" s="4"/>
      <c r="E10" s="4"/>
      <c r="F10" s="72" t="s">
        <v>77</v>
      </c>
      <c r="G10" s="58"/>
      <c r="H10"/>
      <c r="S10" s="8"/>
      <c r="T10" s="9"/>
    </row>
    <row r="11" spans="1:21" s="6" customFormat="1" ht="20.25" customHeight="1" x14ac:dyDescent="0.3">
      <c r="B11" s="4"/>
      <c r="C11" s="4"/>
      <c r="D11" s="4"/>
      <c r="E11" s="4"/>
      <c r="F11" s="7"/>
      <c r="G11" s="7"/>
      <c r="T11" s="8"/>
      <c r="U11" s="9"/>
    </row>
    <row r="12" spans="1:21" customFormat="1" ht="20.25" customHeight="1" x14ac:dyDescent="0.3">
      <c r="A12" s="12"/>
      <c r="B12" s="13"/>
      <c r="C12" s="13"/>
      <c r="D12" s="13"/>
      <c r="E12" s="13"/>
      <c r="F12" s="14" t="s">
        <v>17</v>
      </c>
      <c r="G12" s="15"/>
      <c r="K12" s="16"/>
    </row>
    <row r="13" spans="1:21" customFormat="1" ht="20.25" customHeight="1" x14ac:dyDescent="0.3">
      <c r="A13" s="17"/>
      <c r="B13" s="18" t="s">
        <v>9</v>
      </c>
      <c r="C13" s="18"/>
      <c r="D13" s="18"/>
      <c r="E13" s="18"/>
      <c r="F13" s="53">
        <v>200000</v>
      </c>
      <c r="G13" s="18"/>
      <c r="K13" s="18"/>
    </row>
    <row r="14" spans="1:21" customFormat="1" ht="20.25" customHeight="1" x14ac:dyDescent="0.3">
      <c r="A14" s="17"/>
      <c r="B14" s="18" t="s">
        <v>81</v>
      </c>
      <c r="C14" s="18"/>
      <c r="D14" s="18"/>
      <c r="E14" s="18"/>
      <c r="F14" s="53">
        <v>20000</v>
      </c>
      <c r="G14" s="18"/>
      <c r="K14" s="18"/>
    </row>
    <row r="15" spans="1:21" customFormat="1" ht="20.25" customHeight="1" x14ac:dyDescent="0.3">
      <c r="A15" s="17"/>
      <c r="B15" s="18" t="s">
        <v>65</v>
      </c>
      <c r="C15" s="34"/>
      <c r="D15" s="34"/>
      <c r="E15" s="34"/>
      <c r="F15" s="63" t="s">
        <v>89</v>
      </c>
      <c r="G15" s="18"/>
      <c r="K15" s="20"/>
    </row>
    <row r="16" spans="1:21" customFormat="1" ht="20.25" customHeight="1" x14ac:dyDescent="0.3">
      <c r="A16" s="17"/>
      <c r="B16" s="21" t="s">
        <v>18</v>
      </c>
      <c r="C16" s="21"/>
      <c r="D16" s="21"/>
      <c r="E16" s="21"/>
      <c r="F16" s="22">
        <f>SUM(F13:F15)</f>
        <v>220000</v>
      </c>
      <c r="G16" s="18"/>
      <c r="K16" s="18"/>
    </row>
    <row r="17" spans="1:11" customFormat="1" ht="20.25" customHeight="1" x14ac:dyDescent="0.3">
      <c r="A17" s="17"/>
      <c r="B17" s="19"/>
      <c r="C17" s="19"/>
      <c r="D17" s="19"/>
      <c r="E17" s="19"/>
      <c r="F17" s="18"/>
      <c r="G17" s="18"/>
      <c r="K17" s="18"/>
    </row>
    <row r="18" spans="1:11" customFormat="1" ht="20.25" customHeight="1" x14ac:dyDescent="0.3">
      <c r="A18" s="17"/>
      <c r="B18" s="21" t="s">
        <v>2</v>
      </c>
      <c r="C18" s="21"/>
      <c r="D18" s="21"/>
      <c r="E18" s="21"/>
      <c r="F18" s="23">
        <f>F13+F14</f>
        <v>220000</v>
      </c>
      <c r="G18" s="18"/>
      <c r="K18" s="18"/>
    </row>
    <row r="19" spans="1:11" customFormat="1" ht="20.25" customHeight="1" x14ac:dyDescent="0.3">
      <c r="A19" s="17"/>
      <c r="F19" s="23"/>
      <c r="G19" s="18"/>
      <c r="K19" s="18"/>
    </row>
    <row r="20" spans="1:11" customFormat="1" ht="20.25" customHeight="1" x14ac:dyDescent="0.3">
      <c r="A20" s="17"/>
      <c r="B20" s="24" t="s">
        <v>19</v>
      </c>
      <c r="C20" s="24"/>
      <c r="D20" s="24"/>
      <c r="E20" s="24"/>
      <c r="F20" s="18">
        <f>F16*0.2</f>
        <v>44000</v>
      </c>
      <c r="G20" s="18"/>
      <c r="K20" s="18"/>
    </row>
    <row r="21" spans="1:11" customFormat="1" ht="20.25" hidden="1" customHeight="1" x14ac:dyDescent="0.3">
      <c r="A21" s="17"/>
      <c r="B21" s="35">
        <v>16667</v>
      </c>
      <c r="C21" s="36"/>
      <c r="D21" s="36"/>
      <c r="E21" s="36"/>
      <c r="F21" s="36">
        <f>B21</f>
        <v>16667</v>
      </c>
      <c r="G21" s="18"/>
      <c r="K21" s="18"/>
    </row>
    <row r="22" spans="1:11" customFormat="1" ht="20.25" hidden="1" customHeight="1" x14ac:dyDescent="0.3">
      <c r="A22" s="17"/>
      <c r="B22" s="36" t="s">
        <v>23</v>
      </c>
      <c r="C22" s="36"/>
      <c r="D22" s="36"/>
      <c r="E22" s="36"/>
      <c r="F22" s="36">
        <f>0.01*F16</f>
        <v>2200</v>
      </c>
      <c r="G22" s="18"/>
      <c r="K22" s="18"/>
    </row>
    <row r="23" spans="1:11" customFormat="1" ht="20.25" customHeight="1" x14ac:dyDescent="0.3">
      <c r="A23" s="17"/>
      <c r="B23" s="18" t="s">
        <v>20</v>
      </c>
      <c r="C23" s="18"/>
      <c r="D23" s="18"/>
      <c r="E23" s="18"/>
      <c r="F23" s="18">
        <f>IF(F16=0,0,IF(F21&gt;F22,F21,F22))</f>
        <v>16667</v>
      </c>
      <c r="G23" s="18"/>
      <c r="K23" s="18"/>
    </row>
    <row r="24" spans="1:11" customFormat="1" ht="20.25" customHeight="1" x14ac:dyDescent="0.3">
      <c r="A24" s="17"/>
      <c r="B24" s="21" t="s">
        <v>54</v>
      </c>
      <c r="C24" s="21"/>
      <c r="D24" s="21"/>
      <c r="E24" s="21"/>
      <c r="F24" s="22">
        <f>F20+F23</f>
        <v>60667</v>
      </c>
      <c r="G24" s="25"/>
      <c r="K24" s="25"/>
    </row>
    <row r="25" spans="1:11" customFormat="1" ht="20.25" customHeight="1" x14ac:dyDescent="0.3">
      <c r="A25" s="17"/>
      <c r="B25" s="21"/>
      <c r="C25" s="21"/>
      <c r="D25" s="21"/>
      <c r="E25" s="21"/>
      <c r="F25" s="23"/>
      <c r="G25" s="18"/>
      <c r="K25" s="18"/>
    </row>
    <row r="26" spans="1:11" s="67" customFormat="1" ht="20.25" customHeight="1" x14ac:dyDescent="0.3">
      <c r="A26" s="64"/>
      <c r="B26" s="65" t="s">
        <v>83</v>
      </c>
      <c r="C26" s="66"/>
      <c r="D26" s="66"/>
      <c r="E26" s="66"/>
      <c r="F26" s="69">
        <f>IF(F16&gt;0,IF(F10="YES",250,0),0)</f>
        <v>0</v>
      </c>
      <c r="J26" s="68"/>
    </row>
    <row r="27" spans="1:11" s="67" customFormat="1" ht="20.25" customHeight="1" x14ac:dyDescent="0.3">
      <c r="A27" s="64"/>
      <c r="B27" s="65" t="s">
        <v>73</v>
      </c>
      <c r="C27" s="66"/>
      <c r="D27" s="66"/>
      <c r="E27" s="66"/>
      <c r="F27" s="69">
        <f>IF(F10="YES",0.2*F16,0)</f>
        <v>0</v>
      </c>
      <c r="J27" s="68"/>
    </row>
    <row r="28" spans="1:11" s="67" customFormat="1" ht="20.25" customHeight="1" x14ac:dyDescent="0.3">
      <c r="A28" s="64"/>
      <c r="B28" s="66" t="s">
        <v>74</v>
      </c>
      <c r="C28" s="66"/>
      <c r="D28" s="66"/>
      <c r="E28" s="66"/>
      <c r="F28" s="70">
        <f>IF(F26&gt;F27,F26,F27)</f>
        <v>0</v>
      </c>
      <c r="J28" s="68"/>
    </row>
    <row r="29" spans="1:11" customFormat="1" ht="20.25" customHeight="1" x14ac:dyDescent="0.3">
      <c r="A29" s="17"/>
      <c r="B29" s="21"/>
      <c r="C29" s="21"/>
      <c r="D29" s="21"/>
      <c r="E29" s="21"/>
      <c r="F29" s="23"/>
      <c r="J29" s="18"/>
    </row>
    <row r="30" spans="1:11" customFormat="1" ht="20.25" customHeight="1" x14ac:dyDescent="0.3">
      <c r="A30" s="17"/>
      <c r="B30" s="18" t="s">
        <v>86</v>
      </c>
      <c r="C30" s="23"/>
      <c r="D30" s="23"/>
      <c r="E30" s="23"/>
      <c r="F30" s="53">
        <v>3157424</v>
      </c>
      <c r="G30" s="18"/>
      <c r="K30" s="18"/>
    </row>
    <row r="31" spans="1:11" customFormat="1" ht="20.25" customHeight="1" x14ac:dyDescent="0.3">
      <c r="A31" s="17"/>
      <c r="B31" s="23"/>
      <c r="C31" s="23"/>
      <c r="D31" s="23"/>
      <c r="E31" s="23"/>
      <c r="F31" s="23"/>
      <c r="G31" s="18"/>
      <c r="K31" s="18"/>
    </row>
    <row r="32" spans="1:11" customFormat="1" ht="20.25" customHeight="1" x14ac:dyDescent="0.3">
      <c r="A32" s="47"/>
      <c r="B32" s="21" t="s">
        <v>21</v>
      </c>
      <c r="C32" s="21"/>
      <c r="D32" s="21"/>
      <c r="E32" s="21"/>
      <c r="F32" s="23">
        <f>F30+F24+F28</f>
        <v>3218091</v>
      </c>
      <c r="G32" s="18"/>
      <c r="K32" s="18"/>
    </row>
    <row r="33" spans="1:11" customFormat="1" ht="20.25" customHeight="1" x14ac:dyDescent="0.3">
      <c r="A33" s="47"/>
      <c r="B33" s="19"/>
      <c r="C33" s="19"/>
      <c r="D33" s="19"/>
      <c r="E33" s="19"/>
      <c r="F33" s="18"/>
      <c r="G33" s="18"/>
      <c r="K33" s="18"/>
    </row>
    <row r="34" spans="1:11" customFormat="1" ht="20.25" customHeight="1" x14ac:dyDescent="0.3">
      <c r="A34" s="47"/>
      <c r="B34" s="19" t="s">
        <v>22</v>
      </c>
      <c r="C34" s="19"/>
      <c r="D34" s="19"/>
      <c r="E34" s="19"/>
      <c r="F34" s="18">
        <f>IF(F32&gt;=F18,0,F18-F32)</f>
        <v>0</v>
      </c>
      <c r="G34" s="18"/>
      <c r="K34" s="18"/>
    </row>
    <row r="35" spans="1:11" customFormat="1" ht="20.25" customHeight="1" x14ac:dyDescent="0.3">
      <c r="A35" s="17"/>
      <c r="B35" s="21"/>
      <c r="C35" s="21"/>
      <c r="D35" s="21"/>
      <c r="E35" s="21"/>
      <c r="F35" s="23"/>
      <c r="G35" s="18"/>
      <c r="K35" s="18"/>
    </row>
    <row r="36" spans="1:11" customFormat="1" ht="20.25" customHeight="1" x14ac:dyDescent="0.3">
      <c r="A36" s="17"/>
      <c r="B36" s="21" t="s">
        <v>28</v>
      </c>
      <c r="C36" s="21"/>
      <c r="D36" s="21"/>
      <c r="E36" s="21"/>
      <c r="F36" s="23">
        <f>F49</f>
        <v>0</v>
      </c>
      <c r="G36" s="26"/>
    </row>
    <row r="37" spans="1:11" customFormat="1" ht="20.25" customHeight="1" x14ac:dyDescent="0.3">
      <c r="A37" s="17"/>
      <c r="B37" s="44" t="s">
        <v>29</v>
      </c>
      <c r="C37" s="44"/>
      <c r="D37" s="44"/>
      <c r="E37" s="44"/>
      <c r="F37" s="20">
        <f>0.01*F16</f>
        <v>2200</v>
      </c>
      <c r="G37" s="20"/>
    </row>
    <row r="38" spans="1:11" customFormat="1" ht="20.25" customHeight="1" thickBot="1" x14ac:dyDescent="0.35">
      <c r="A38" s="17"/>
      <c r="B38" s="21" t="s">
        <v>7</v>
      </c>
      <c r="C38" s="21"/>
      <c r="D38" s="21"/>
      <c r="E38" s="21"/>
      <c r="F38" s="37">
        <f>IF(F37&gt;F36,F37,F36)</f>
        <v>2200</v>
      </c>
      <c r="G38" s="26"/>
    </row>
    <row r="39" spans="1:11" customFormat="1" ht="20.25" customHeight="1" thickTop="1" x14ac:dyDescent="0.3">
      <c r="A39" s="17"/>
      <c r="B39" s="21"/>
      <c r="C39" s="21"/>
      <c r="D39" s="21"/>
      <c r="E39" s="21"/>
      <c r="F39" s="27"/>
      <c r="G39" s="26"/>
    </row>
    <row r="40" spans="1:11" customFormat="1" ht="20.25" customHeight="1" x14ac:dyDescent="0.3">
      <c r="A40" s="12"/>
      <c r="B40" s="28"/>
      <c r="C40" s="28"/>
      <c r="D40" s="28"/>
      <c r="E40" s="28"/>
      <c r="F40" s="27"/>
      <c r="G40" s="28"/>
    </row>
    <row r="41" spans="1:11" customFormat="1" ht="20.25" customHeight="1" x14ac:dyDescent="0.3">
      <c r="A41" s="12"/>
      <c r="B41" s="78" t="s">
        <v>53</v>
      </c>
      <c r="C41" s="78"/>
      <c r="D41" s="79" t="s">
        <v>2</v>
      </c>
      <c r="E41" s="79" t="s">
        <v>3</v>
      </c>
      <c r="F41" s="79" t="s">
        <v>4</v>
      </c>
    </row>
    <row r="42" spans="1:11" customFormat="1" ht="20.25" customHeight="1" x14ac:dyDescent="0.3">
      <c r="A42" s="12"/>
      <c r="B42" s="43" t="s">
        <v>26</v>
      </c>
      <c r="C42" s="43" t="s">
        <v>27</v>
      </c>
      <c r="D42" s="79"/>
      <c r="E42" s="79"/>
      <c r="F42" s="79"/>
    </row>
    <row r="43" spans="1:11" customFormat="1" ht="20.25" customHeight="1" x14ac:dyDescent="0.3">
      <c r="A43" s="12"/>
      <c r="B43" s="40">
        <v>0</v>
      </c>
      <c r="C43" s="40">
        <v>25000</v>
      </c>
      <c r="D43" s="41">
        <f>IF(F34&lt;=C43,F34,C43)</f>
        <v>0</v>
      </c>
      <c r="E43" s="42">
        <v>7.0000000000000007E-2</v>
      </c>
      <c r="F43" s="41">
        <f>D43*E43</f>
        <v>0</v>
      </c>
    </row>
    <row r="44" spans="1:11" customFormat="1" ht="20.25" customHeight="1" x14ac:dyDescent="0.3">
      <c r="A44" s="12"/>
      <c r="B44" s="33">
        <v>25001</v>
      </c>
      <c r="C44" s="33">
        <v>50000</v>
      </c>
      <c r="D44" s="29">
        <f>IF(F$34&gt;=C44,C44-C43,IF(F$34-B44&gt;0,F$34-C43,0))</f>
        <v>0</v>
      </c>
      <c r="E44" s="30">
        <v>0.11</v>
      </c>
      <c r="F44" s="29">
        <f t="shared" ref="F44:F48" si="0">D44*E44</f>
        <v>0</v>
      </c>
    </row>
    <row r="45" spans="1:11" customFormat="1" ht="20.25" customHeight="1" x14ac:dyDescent="0.3">
      <c r="A45" s="12"/>
      <c r="B45" s="33">
        <v>50001</v>
      </c>
      <c r="C45" s="33">
        <f>1100000/12</f>
        <v>91666.666666666672</v>
      </c>
      <c r="D45" s="29">
        <f t="shared" ref="D45:D47" si="1">IF(F$34&gt;=C45,C45-C44,IF(F$34-B45&gt;0,F$34-C44,0))</f>
        <v>0</v>
      </c>
      <c r="E45" s="30">
        <v>0.15</v>
      </c>
      <c r="F45" s="29">
        <f t="shared" si="0"/>
        <v>0</v>
      </c>
    </row>
    <row r="46" spans="1:11" customFormat="1" ht="20.25" customHeight="1" x14ac:dyDescent="0.3">
      <c r="A46" s="12"/>
      <c r="B46" s="33">
        <f>1100001/12</f>
        <v>91666.75</v>
      </c>
      <c r="C46" s="33">
        <f>1600000/12</f>
        <v>133333.33333333334</v>
      </c>
      <c r="D46" s="29">
        <f t="shared" si="1"/>
        <v>0</v>
      </c>
      <c r="E46" s="30">
        <v>0.19</v>
      </c>
      <c r="F46" s="29">
        <f t="shared" si="0"/>
        <v>0</v>
      </c>
    </row>
    <row r="47" spans="1:11" customFormat="1" ht="20.25" customHeight="1" x14ac:dyDescent="0.3">
      <c r="A47" s="12"/>
      <c r="B47" s="33">
        <f>1600001/12</f>
        <v>133333.41666666666</v>
      </c>
      <c r="C47" s="33">
        <f>3200000/12</f>
        <v>266666.66666666669</v>
      </c>
      <c r="D47" s="29">
        <f t="shared" si="1"/>
        <v>0</v>
      </c>
      <c r="E47" s="30">
        <v>0.21</v>
      </c>
      <c r="F47" s="29">
        <f t="shared" si="0"/>
        <v>0</v>
      </c>
    </row>
    <row r="48" spans="1:11" customFormat="1" ht="20.25" customHeight="1" x14ac:dyDescent="0.3">
      <c r="A48" s="12"/>
      <c r="B48" s="33">
        <v>266666.67</v>
      </c>
      <c r="C48" s="39" t="s">
        <v>25</v>
      </c>
      <c r="D48" s="29">
        <f>IF(F$34&gt;=C48,C48-C47,IF(F$34-B48&gt;0,F$34-C47,0))</f>
        <v>0</v>
      </c>
      <c r="E48" s="30">
        <v>0.24</v>
      </c>
      <c r="F48" s="29">
        <f t="shared" si="0"/>
        <v>0</v>
      </c>
    </row>
    <row r="49" spans="1:6" customFormat="1" ht="20.25" customHeight="1" thickBot="1" x14ac:dyDescent="0.35">
      <c r="A49" s="12"/>
      <c r="B49" s="19"/>
      <c r="C49" s="19"/>
      <c r="D49" s="31">
        <f>SUM(D43:D48)</f>
        <v>0</v>
      </c>
      <c r="E49" s="32"/>
      <c r="F49" s="31">
        <f t="shared" ref="F49" si="2">SUM(F43:F48)</f>
        <v>0</v>
      </c>
    </row>
    <row r="50" spans="1:6" customFormat="1" ht="20.25" customHeight="1" x14ac:dyDescent="0.3">
      <c r="A50" s="12"/>
    </row>
    <row r="51" spans="1:6" customFormat="1" ht="20.25" customHeight="1" x14ac:dyDescent="0.3">
      <c r="A51" s="12"/>
    </row>
    <row r="52" spans="1:6" customFormat="1" ht="20.25" customHeight="1" x14ac:dyDescent="0.3">
      <c r="A52" s="12"/>
      <c r="B52" s="80" t="s">
        <v>47</v>
      </c>
      <c r="C52" s="81"/>
      <c r="D52" s="81"/>
      <c r="E52" s="81"/>
      <c r="F52" s="81"/>
    </row>
    <row r="53" spans="1:6" customFormat="1" ht="20.25" customHeight="1" x14ac:dyDescent="0.3">
      <c r="A53" s="12"/>
      <c r="B53" s="81"/>
      <c r="C53" s="81"/>
      <c r="D53" s="81"/>
      <c r="E53" s="81"/>
      <c r="F53" s="81"/>
    </row>
    <row r="54" spans="1:6" ht="20.25" customHeight="1" x14ac:dyDescent="0.3">
      <c r="B54" s="81"/>
      <c r="C54" s="81"/>
      <c r="D54" s="81"/>
      <c r="E54" s="81"/>
      <c r="F54" s="81"/>
    </row>
    <row r="55" spans="1:6" ht="20.25" customHeight="1" x14ac:dyDescent="0.3">
      <c r="B55" s="81"/>
      <c r="C55" s="81"/>
      <c r="D55" s="81"/>
      <c r="E55" s="81"/>
      <c r="F55" s="81"/>
    </row>
    <row r="56" spans="1:6" ht="20.25" customHeight="1" x14ac:dyDescent="0.3">
      <c r="B56" s="81"/>
      <c r="C56" s="81"/>
      <c r="D56" s="81"/>
      <c r="E56" s="81"/>
      <c r="F56" s="81"/>
    </row>
    <row r="57" spans="1:6" x14ac:dyDescent="0.3">
      <c r="B57" s="81"/>
      <c r="C57" s="81"/>
      <c r="D57" s="81"/>
      <c r="E57" s="81"/>
      <c r="F57" s="81"/>
    </row>
  </sheetData>
  <sheetProtection algorithmName="SHA-512" hashValue="AXdHlTMGy26yMKekVrWo/P9M0N9ctJkZUTrS1bAaVdJkMPWBJB8jPIHx2qoQaiketalwrMeLtRlw6QjmDjGjzQ==" saltValue="I12J40Xjt749cbL6p9vAQg==" spinCount="100000" sheet="1" selectLockedCells="1"/>
  <mergeCells count="5">
    <mergeCell ref="B41:C41"/>
    <mergeCell ref="D41:D42"/>
    <mergeCell ref="E41:E42"/>
    <mergeCell ref="F41:F42"/>
    <mergeCell ref="B52:F57"/>
  </mergeCells>
  <dataValidations count="1">
    <dataValidation type="list" allowBlank="1" showErrorMessage="1" errorTitle="QUESTION" error="Please select from the options provided in the drop down list." sqref="F10"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U87"/>
  <sheetViews>
    <sheetView showGridLines="0" topLeftCell="A12" zoomScaleNormal="100" zoomScaleSheetLayoutView="100" workbookViewId="0">
      <selection activeCell="F17" sqref="F17"/>
    </sheetView>
  </sheetViews>
  <sheetFormatPr defaultColWidth="9.109375" defaultRowHeight="13.8" x14ac:dyDescent="0.3"/>
  <cols>
    <col min="1" max="1" width="8.6640625" style="10" customWidth="1"/>
    <col min="2" max="6" width="19.6640625" style="11" customWidth="1"/>
    <col min="7" max="7" width="9.88671875" style="11" customWidth="1"/>
    <col min="8" max="8" width="18" style="11" customWidth="1"/>
    <col min="9" max="9" width="57" style="11" bestFit="1" customWidth="1"/>
    <col min="10" max="10" width="13.6640625" style="11" customWidth="1"/>
    <col min="11" max="16384" width="9.109375" style="11"/>
  </cols>
  <sheetData>
    <row r="1" spans="1:21" customFormat="1" ht="14.4" x14ac:dyDescent="0.3">
      <c r="F1" s="5"/>
      <c r="G1" s="5"/>
    </row>
    <row r="2" spans="1:21" customFormat="1" ht="14.4" x14ac:dyDescent="0.3">
      <c r="F2" s="5"/>
      <c r="G2" s="5"/>
    </row>
    <row r="3" spans="1:21" customFormat="1" ht="14.4" x14ac:dyDescent="0.3">
      <c r="F3" s="5"/>
      <c r="G3" s="5"/>
    </row>
    <row r="4" spans="1:21" customFormat="1" ht="14.4" x14ac:dyDescent="0.3">
      <c r="F4" s="5"/>
      <c r="G4" s="5"/>
    </row>
    <row r="5" spans="1:21" customFormat="1" ht="14.4" x14ac:dyDescent="0.3">
      <c r="F5" s="5"/>
      <c r="G5" s="5"/>
    </row>
    <row r="6" spans="1:21" customFormat="1" ht="14.4" x14ac:dyDescent="0.3">
      <c r="F6" s="5"/>
      <c r="G6" s="5"/>
    </row>
    <row r="7" spans="1:21" customFormat="1" ht="14.4" x14ac:dyDescent="0.3">
      <c r="F7" s="5"/>
      <c r="G7" s="5"/>
    </row>
    <row r="8" spans="1:21" s="49" customFormat="1" ht="30" customHeight="1" x14ac:dyDescent="0.55000000000000004">
      <c r="B8" s="50" t="s">
        <v>51</v>
      </c>
      <c r="C8" s="48"/>
      <c r="D8" s="48"/>
      <c r="E8" s="48"/>
      <c r="F8" s="52" t="s">
        <v>40</v>
      </c>
    </row>
    <row r="9" spans="1:21" customFormat="1" ht="15.75" customHeight="1" x14ac:dyDescent="0.3">
      <c r="F9" s="5"/>
      <c r="T9" s="3"/>
      <c r="U9" s="3"/>
    </row>
    <row r="10" spans="1:21" s="6" customFormat="1" ht="20.25" customHeight="1" x14ac:dyDescent="0.3">
      <c r="B10" s="4" t="s">
        <v>16</v>
      </c>
      <c r="C10" s="4"/>
      <c r="D10" s="4"/>
      <c r="E10" s="4"/>
      <c r="F10" s="7"/>
      <c r="G10"/>
      <c r="H10"/>
      <c r="I10"/>
      <c r="T10" s="8"/>
      <c r="U10" s="9"/>
    </row>
    <row r="11" spans="1:21" s="6" customFormat="1" ht="20.25" customHeight="1" x14ac:dyDescent="0.3">
      <c r="B11" s="4"/>
      <c r="C11" s="4"/>
      <c r="D11" s="4"/>
      <c r="E11" s="4"/>
      <c r="F11" s="7"/>
      <c r="G11"/>
      <c r="H11"/>
      <c r="I11"/>
      <c r="T11" s="8"/>
      <c r="U11" s="9"/>
    </row>
    <row r="12" spans="1:21" s="6" customFormat="1" ht="20.25" customHeight="1" x14ac:dyDescent="0.3">
      <c r="B12" s="18" t="s">
        <v>52</v>
      </c>
      <c r="C12" s="4"/>
      <c r="D12" s="4"/>
      <c r="E12" s="4"/>
      <c r="F12" s="56">
        <v>31</v>
      </c>
      <c r="G12" s="57" t="s">
        <v>49</v>
      </c>
      <c r="H12"/>
      <c r="I12"/>
      <c r="T12" s="8"/>
      <c r="U12" s="9"/>
    </row>
    <row r="13" spans="1:21" s="6" customFormat="1" ht="20.25" customHeight="1" x14ac:dyDescent="0.3">
      <c r="B13" s="4"/>
      <c r="C13" s="4"/>
      <c r="D13" s="4"/>
      <c r="E13" s="4"/>
      <c r="F13" s="7"/>
      <c r="G13"/>
      <c r="H13"/>
      <c r="I13"/>
      <c r="K13" s="51"/>
      <c r="T13" s="8"/>
      <c r="U13" s="9"/>
    </row>
    <row r="14" spans="1:21" s="6" customFormat="1" ht="20.25" customHeight="1" x14ac:dyDescent="0.3">
      <c r="B14" s="4"/>
      <c r="C14" s="4"/>
      <c r="D14" s="4"/>
      <c r="E14" s="4"/>
      <c r="F14" s="46" t="s">
        <v>17</v>
      </c>
      <c r="G14"/>
      <c r="H14"/>
      <c r="I14"/>
      <c r="T14" s="8"/>
      <c r="U14" s="9"/>
    </row>
    <row r="15" spans="1:21" customFormat="1" ht="20.25" customHeight="1" x14ac:dyDescent="0.3">
      <c r="A15" s="12"/>
      <c r="B15" s="13"/>
      <c r="C15" s="13"/>
      <c r="D15" s="13"/>
      <c r="E15" s="13"/>
      <c r="F15" s="45" t="s">
        <v>11</v>
      </c>
      <c r="K15" s="16"/>
    </row>
    <row r="16" spans="1:21" customFormat="1" ht="20.25" customHeight="1" x14ac:dyDescent="0.3">
      <c r="A16" s="17"/>
      <c r="B16" s="18" t="s">
        <v>9</v>
      </c>
      <c r="C16" s="18"/>
      <c r="D16" s="18"/>
      <c r="E16" s="18"/>
      <c r="F16" s="53">
        <v>0</v>
      </c>
      <c r="K16" s="18"/>
    </row>
    <row r="17" spans="1:11" customFormat="1" ht="20.25" customHeight="1" x14ac:dyDescent="0.3">
      <c r="A17" s="17"/>
      <c r="B17" s="18" t="s">
        <v>45</v>
      </c>
      <c r="C17" s="18"/>
      <c r="D17" s="18"/>
      <c r="E17" s="18"/>
      <c r="F17" s="53">
        <v>0</v>
      </c>
      <c r="K17" s="18"/>
    </row>
    <row r="18" spans="1:11" customFormat="1" ht="20.25" customHeight="1" x14ac:dyDescent="0.3">
      <c r="A18" s="17"/>
      <c r="B18" s="18" t="s">
        <v>46</v>
      </c>
      <c r="C18" s="18"/>
      <c r="D18" s="18"/>
      <c r="E18" s="18"/>
      <c r="F18" s="53">
        <v>0</v>
      </c>
      <c r="K18" s="18"/>
    </row>
    <row r="19" spans="1:11" customFormat="1" ht="20.25" customHeight="1" x14ac:dyDescent="0.3">
      <c r="A19" s="17"/>
      <c r="B19" s="19" t="s">
        <v>10</v>
      </c>
      <c r="C19" s="18"/>
      <c r="D19" s="18"/>
      <c r="E19" s="18"/>
      <c r="F19" s="53">
        <v>0</v>
      </c>
      <c r="K19" s="18"/>
    </row>
    <row r="20" spans="1:11" customFormat="1" ht="20.25" customHeight="1" x14ac:dyDescent="0.3">
      <c r="A20" s="17"/>
      <c r="B20" s="38" t="s">
        <v>14</v>
      </c>
      <c r="C20" s="38"/>
      <c r="D20" s="38"/>
      <c r="E20" s="38"/>
      <c r="F20" s="54">
        <v>0</v>
      </c>
      <c r="K20" s="20"/>
    </row>
    <row r="21" spans="1:11" customFormat="1" ht="20.25" customHeight="1" x14ac:dyDescent="0.3">
      <c r="A21" s="17"/>
      <c r="B21" s="34" t="s">
        <v>15</v>
      </c>
      <c r="C21" s="34"/>
      <c r="D21" s="34"/>
      <c r="E21" s="34"/>
      <c r="F21" s="54">
        <v>0</v>
      </c>
      <c r="K21" s="20"/>
    </row>
    <row r="22" spans="1:11" customFormat="1" ht="20.25" customHeight="1" x14ac:dyDescent="0.3">
      <c r="A22" s="17"/>
      <c r="B22" s="38" t="s">
        <v>57</v>
      </c>
      <c r="C22" s="38"/>
      <c r="D22" s="38"/>
      <c r="E22" s="38"/>
      <c r="F22" s="54">
        <v>0</v>
      </c>
      <c r="K22" s="18"/>
    </row>
    <row r="23" spans="1:11" customFormat="1" ht="20.25" customHeight="1" x14ac:dyDescent="0.3">
      <c r="A23" s="17"/>
      <c r="B23" s="21" t="s">
        <v>42</v>
      </c>
      <c r="C23" s="21"/>
      <c r="D23" s="21"/>
      <c r="E23" s="21"/>
      <c r="F23" s="22">
        <f>SUM(F16:F22)</f>
        <v>0</v>
      </c>
      <c r="K23" s="18"/>
    </row>
    <row r="24" spans="1:11" customFormat="1" ht="20.25" customHeight="1" x14ac:dyDescent="0.3">
      <c r="A24" s="17"/>
      <c r="B24" s="21" t="s">
        <v>31</v>
      </c>
      <c r="C24" s="21"/>
      <c r="D24" s="21"/>
      <c r="E24" s="21"/>
      <c r="F24" s="23">
        <f>IF(F12&lt;=0,0,F23*365/F12)</f>
        <v>0</v>
      </c>
      <c r="K24" s="18"/>
    </row>
    <row r="25" spans="1:11" customFormat="1" ht="20.25" customHeight="1" x14ac:dyDescent="0.3">
      <c r="A25" s="17"/>
      <c r="B25" s="19"/>
      <c r="C25" s="19"/>
      <c r="D25" s="19"/>
      <c r="E25" s="19"/>
      <c r="F25" s="18"/>
      <c r="K25" s="18"/>
    </row>
    <row r="26" spans="1:11" customFormat="1" ht="20.25" customHeight="1" x14ac:dyDescent="0.3">
      <c r="A26" s="17"/>
      <c r="B26" s="19" t="s">
        <v>43</v>
      </c>
      <c r="C26" s="19"/>
      <c r="D26" s="19"/>
      <c r="E26" s="19"/>
      <c r="F26" s="18">
        <f>F16+F17+F18+F19</f>
        <v>0</v>
      </c>
      <c r="K26" s="18"/>
    </row>
    <row r="27" spans="1:11" customFormat="1" ht="20.25" customHeight="1" x14ac:dyDescent="0.3">
      <c r="A27" s="17"/>
      <c r="B27" s="21" t="s">
        <v>32</v>
      </c>
      <c r="C27" s="21"/>
      <c r="D27" s="21"/>
      <c r="E27" s="21"/>
      <c r="F27" s="23">
        <f>IF(F12&lt;=0,0,F26*365/F12)</f>
        <v>0</v>
      </c>
      <c r="K27" s="18"/>
    </row>
    <row r="28" spans="1:11" customFormat="1" ht="20.25" customHeight="1" x14ac:dyDescent="0.3">
      <c r="A28" s="17"/>
      <c r="F28" s="23"/>
      <c r="K28" s="18"/>
    </row>
    <row r="29" spans="1:11" customFormat="1" ht="20.25" customHeight="1" x14ac:dyDescent="0.3">
      <c r="A29" s="17"/>
      <c r="B29" s="24" t="s">
        <v>12</v>
      </c>
      <c r="C29" s="24"/>
      <c r="D29" s="24"/>
      <c r="E29" s="24"/>
      <c r="F29" s="53">
        <v>0</v>
      </c>
      <c r="K29" s="18"/>
    </row>
    <row r="30" spans="1:11" customFormat="1" ht="20.25" customHeight="1" x14ac:dyDescent="0.3">
      <c r="A30" s="17"/>
      <c r="B30" s="24" t="s">
        <v>13</v>
      </c>
      <c r="C30" s="24"/>
      <c r="D30" s="24"/>
      <c r="E30" s="24"/>
      <c r="F30" s="53">
        <v>0</v>
      </c>
      <c r="K30" s="18"/>
    </row>
    <row r="31" spans="1:11" customFormat="1" ht="20.25" customHeight="1" x14ac:dyDescent="0.3">
      <c r="A31" s="17"/>
      <c r="B31" s="24" t="s">
        <v>5</v>
      </c>
      <c r="C31" s="24"/>
      <c r="D31" s="24"/>
      <c r="E31" s="24"/>
      <c r="F31" s="53">
        <v>0</v>
      </c>
      <c r="K31" s="18"/>
    </row>
    <row r="32" spans="1:11" customFormat="1" ht="20.25" customHeight="1" x14ac:dyDescent="0.3">
      <c r="A32" s="17"/>
      <c r="B32" s="24" t="s">
        <v>6</v>
      </c>
      <c r="C32" s="24"/>
      <c r="D32" s="24"/>
      <c r="E32" s="24"/>
      <c r="F32" s="53">
        <v>0</v>
      </c>
      <c r="K32" s="18"/>
    </row>
    <row r="33" spans="1:11" customFormat="1" ht="20.25" customHeight="1" x14ac:dyDescent="0.3">
      <c r="A33" s="17"/>
      <c r="B33" s="18" t="s">
        <v>0</v>
      </c>
      <c r="C33" s="18"/>
      <c r="D33" s="18"/>
      <c r="E33" s="18"/>
      <c r="F33" s="53">
        <v>0</v>
      </c>
      <c r="K33" s="18"/>
    </row>
    <row r="34" spans="1:11" customFormat="1" ht="20.25" customHeight="1" x14ac:dyDescent="0.3">
      <c r="A34" s="17"/>
      <c r="B34" s="18" t="s">
        <v>1</v>
      </c>
      <c r="C34" s="18"/>
      <c r="D34" s="18"/>
      <c r="E34" s="18"/>
      <c r="F34" s="53">
        <v>0</v>
      </c>
      <c r="K34" s="18"/>
    </row>
    <row r="35" spans="1:11" customFormat="1" ht="20.25" customHeight="1" x14ac:dyDescent="0.3">
      <c r="A35" s="17"/>
      <c r="B35" s="18" t="s">
        <v>24</v>
      </c>
      <c r="C35" s="18"/>
      <c r="D35" s="18"/>
      <c r="E35" s="18"/>
      <c r="F35" s="53">
        <v>0</v>
      </c>
      <c r="K35" s="18"/>
    </row>
    <row r="36" spans="1:11" customFormat="1" ht="20.25" customHeight="1" x14ac:dyDescent="0.3">
      <c r="A36" s="17"/>
      <c r="B36" s="23" t="s">
        <v>48</v>
      </c>
      <c r="C36" s="23"/>
      <c r="D36" s="23"/>
      <c r="E36" s="23"/>
      <c r="F36" s="22">
        <f>SUM(F29:F35)</f>
        <v>0</v>
      </c>
      <c r="K36" s="18"/>
    </row>
    <row r="37" spans="1:11" customFormat="1" ht="20.25" customHeight="1" x14ac:dyDescent="0.3">
      <c r="A37" s="17"/>
      <c r="B37" s="2" t="s">
        <v>33</v>
      </c>
      <c r="C37" s="23"/>
      <c r="D37" s="23"/>
      <c r="E37" s="23"/>
      <c r="F37" s="23">
        <f>IF(F12&lt;=0,0,F36*365/F12)</f>
        <v>0</v>
      </c>
      <c r="K37" s="18"/>
    </row>
    <row r="38" spans="1:11" customFormat="1" ht="20.25" customHeight="1" x14ac:dyDescent="0.3">
      <c r="A38" s="17"/>
      <c r="B38" s="23"/>
      <c r="C38" s="23"/>
      <c r="D38" s="23"/>
      <c r="E38" s="23"/>
      <c r="F38" s="23"/>
      <c r="K38" s="18"/>
    </row>
    <row r="39" spans="1:11" customFormat="1" ht="20.25" customHeight="1" x14ac:dyDescent="0.3">
      <c r="A39" s="17"/>
      <c r="B39" s="24" t="s">
        <v>19</v>
      </c>
      <c r="C39" s="24"/>
      <c r="D39" s="24"/>
      <c r="E39" s="24"/>
      <c r="F39" s="18">
        <f>F23*0.2</f>
        <v>0</v>
      </c>
      <c r="K39" s="18"/>
    </row>
    <row r="40" spans="1:11" customFormat="1" ht="20.25" hidden="1" customHeight="1" x14ac:dyDescent="0.3">
      <c r="A40" s="17"/>
      <c r="B40" s="35" t="s">
        <v>34</v>
      </c>
      <c r="C40" s="36"/>
      <c r="D40" s="36"/>
      <c r="E40" s="36"/>
      <c r="F40" s="36">
        <f>200000/365*F12</f>
        <v>16986.301369863013</v>
      </c>
      <c r="K40" s="18"/>
    </row>
    <row r="41" spans="1:11" customFormat="1" ht="20.25" hidden="1" customHeight="1" x14ac:dyDescent="0.3">
      <c r="A41" s="17"/>
      <c r="B41" s="36" t="s">
        <v>23</v>
      </c>
      <c r="C41" s="36"/>
      <c r="D41" s="36"/>
      <c r="E41" s="36"/>
      <c r="F41" s="36">
        <f>0.01*F23</f>
        <v>0</v>
      </c>
      <c r="K41" s="18"/>
    </row>
    <row r="42" spans="1:11" customFormat="1" ht="20.25" customHeight="1" x14ac:dyDescent="0.3">
      <c r="A42" s="17"/>
      <c r="B42" s="18" t="s">
        <v>41</v>
      </c>
      <c r="C42" s="18"/>
      <c r="D42" s="18"/>
      <c r="E42" s="18"/>
      <c r="F42" s="18">
        <f>IF(F23=0,0,IF(F40&gt;F41,F40,F41))</f>
        <v>0</v>
      </c>
      <c r="K42" s="18"/>
    </row>
    <row r="43" spans="1:11" customFormat="1" ht="20.25" customHeight="1" x14ac:dyDescent="0.3">
      <c r="A43" s="17"/>
      <c r="B43" s="21" t="s">
        <v>36</v>
      </c>
      <c r="C43" s="21"/>
      <c r="D43" s="21"/>
      <c r="E43" s="21"/>
      <c r="F43" s="22">
        <f>F39+F42</f>
        <v>0</v>
      </c>
      <c r="K43" s="25"/>
    </row>
    <row r="44" spans="1:11" customFormat="1" ht="20.25" customHeight="1" x14ac:dyDescent="0.3">
      <c r="A44" s="17"/>
      <c r="B44" s="21" t="s">
        <v>37</v>
      </c>
      <c r="C44" s="21"/>
      <c r="D44" s="21"/>
      <c r="E44" s="21"/>
      <c r="F44" s="23">
        <f>F43*365/F12</f>
        <v>0</v>
      </c>
      <c r="K44" s="25"/>
    </row>
    <row r="45" spans="1:11" customFormat="1" ht="20.25" customHeight="1" x14ac:dyDescent="0.3">
      <c r="A45" s="17"/>
      <c r="B45" s="21"/>
      <c r="C45" s="21"/>
      <c r="D45" s="21"/>
      <c r="E45" s="21"/>
      <c r="F45" s="23"/>
      <c r="K45" s="18"/>
    </row>
    <row r="46" spans="1:11" customFormat="1" ht="20.25" customHeight="1" x14ac:dyDescent="0.3">
      <c r="A46" s="47"/>
      <c r="B46" s="21" t="s">
        <v>38</v>
      </c>
      <c r="C46" s="21"/>
      <c r="D46" s="21"/>
      <c r="E46" s="21"/>
      <c r="F46" s="23">
        <f>F37+F44</f>
        <v>0</v>
      </c>
      <c r="G46" s="59"/>
      <c r="K46" s="18"/>
    </row>
    <row r="47" spans="1:11" customFormat="1" ht="20.25" customHeight="1" x14ac:dyDescent="0.3">
      <c r="A47" s="47"/>
      <c r="B47" s="21"/>
      <c r="C47" s="21"/>
      <c r="D47" s="21"/>
      <c r="E47" s="21"/>
      <c r="F47" s="23"/>
      <c r="G47" s="59"/>
      <c r="K47" s="18"/>
    </row>
    <row r="48" spans="1:11" customFormat="1" ht="20.25" customHeight="1" x14ac:dyDescent="0.3">
      <c r="A48" s="47"/>
      <c r="B48" s="21" t="s">
        <v>39</v>
      </c>
      <c r="C48" s="21"/>
      <c r="D48" s="21"/>
      <c r="E48" s="21"/>
      <c r="F48" s="23">
        <f>IF(F46&gt;=F27,0,F27-F46)</f>
        <v>0</v>
      </c>
      <c r="G48" s="59"/>
      <c r="K48" s="18"/>
    </row>
    <row r="49" spans="1:11" customFormat="1" ht="20.25" customHeight="1" x14ac:dyDescent="0.3">
      <c r="A49" s="47"/>
      <c r="B49" s="19"/>
      <c r="C49" s="19"/>
      <c r="D49" s="19"/>
      <c r="E49" s="19"/>
      <c r="F49" s="18"/>
      <c r="K49" s="18"/>
    </row>
    <row r="50" spans="1:11" customFormat="1" ht="20.25" customHeight="1" x14ac:dyDescent="0.3">
      <c r="A50" s="17"/>
      <c r="B50" s="21" t="s">
        <v>35</v>
      </c>
      <c r="C50" s="21"/>
      <c r="D50" s="21"/>
      <c r="E50" s="21"/>
      <c r="F50" s="23">
        <f>F65</f>
        <v>0</v>
      </c>
    </row>
    <row r="51" spans="1:11" customFormat="1" ht="20.25" customHeight="1" x14ac:dyDescent="0.3">
      <c r="A51" s="17"/>
      <c r="B51" s="60" t="s">
        <v>62</v>
      </c>
      <c r="C51" s="60"/>
      <c r="D51" s="60"/>
      <c r="E51" s="60"/>
      <c r="F51" s="61">
        <f>F23*0.01</f>
        <v>0</v>
      </c>
    </row>
    <row r="52" spans="1:11" customFormat="1" ht="20.25" customHeight="1" x14ac:dyDescent="0.3">
      <c r="A52" s="17"/>
      <c r="B52" s="21" t="s">
        <v>61</v>
      </c>
      <c r="C52" s="21"/>
      <c r="D52" s="21"/>
      <c r="E52" s="21"/>
      <c r="F52" s="23">
        <f>IF(F50&gt;F51,F50/365*F12,F51/365*F12)</f>
        <v>0</v>
      </c>
    </row>
    <row r="53" spans="1:11" customFormat="1" ht="20.25" customHeight="1" x14ac:dyDescent="0.3">
      <c r="A53" s="17"/>
      <c r="B53" s="1" t="s">
        <v>44</v>
      </c>
      <c r="C53" s="21"/>
      <c r="D53" s="21"/>
      <c r="E53" s="21"/>
      <c r="F53" s="55">
        <v>0</v>
      </c>
    </row>
    <row r="54" spans="1:11" customFormat="1" ht="20.25" customHeight="1" thickBot="1" x14ac:dyDescent="0.35">
      <c r="A54" s="17"/>
      <c r="B54" s="21" t="s">
        <v>7</v>
      </c>
      <c r="C54" s="21"/>
      <c r="D54" s="21"/>
      <c r="E54" s="21"/>
      <c r="F54" s="37">
        <f>F52-F53</f>
        <v>0</v>
      </c>
    </row>
    <row r="55" spans="1:11" customFormat="1" ht="20.25" customHeight="1" thickTop="1" x14ac:dyDescent="0.3">
      <c r="A55" s="17"/>
      <c r="B55" s="21"/>
      <c r="C55" s="21"/>
      <c r="D55" s="21"/>
      <c r="E55" s="21"/>
      <c r="F55" s="23"/>
    </row>
    <row r="56" spans="1:11" customFormat="1" ht="20.25" customHeight="1" x14ac:dyDescent="0.3">
      <c r="A56" s="12"/>
      <c r="B56" s="28"/>
      <c r="C56" s="28"/>
      <c r="D56" s="28"/>
      <c r="E56" s="28"/>
      <c r="F56" s="27"/>
    </row>
    <row r="57" spans="1:11" customFormat="1" ht="20.25" customHeight="1" x14ac:dyDescent="0.3">
      <c r="A57" s="12"/>
      <c r="B57" s="78" t="s">
        <v>8</v>
      </c>
      <c r="C57" s="78"/>
      <c r="D57" s="79" t="s">
        <v>2</v>
      </c>
      <c r="E57" s="79" t="s">
        <v>3</v>
      </c>
      <c r="F57" s="79" t="s">
        <v>4</v>
      </c>
    </row>
    <row r="58" spans="1:11" customFormat="1" ht="20.25" customHeight="1" x14ac:dyDescent="0.3">
      <c r="A58" s="12"/>
      <c r="B58" s="43" t="s">
        <v>26</v>
      </c>
      <c r="C58" s="43" t="s">
        <v>27</v>
      </c>
      <c r="D58" s="79"/>
      <c r="E58" s="79"/>
      <c r="F58" s="79"/>
    </row>
    <row r="59" spans="1:11" customFormat="1" ht="20.25" customHeight="1" x14ac:dyDescent="0.3">
      <c r="A59" s="12"/>
      <c r="B59" s="40">
        <v>0</v>
      </c>
      <c r="C59" s="40">
        <v>300000</v>
      </c>
      <c r="D59" s="41">
        <f>IF(F48&lt;=C59,F48,C59)</f>
        <v>0</v>
      </c>
      <c r="E59" s="42">
        <v>7.0000000000000007E-2</v>
      </c>
      <c r="F59" s="41">
        <f>D59*E59</f>
        <v>0</v>
      </c>
    </row>
    <row r="60" spans="1:11" customFormat="1" ht="20.25" customHeight="1" x14ac:dyDescent="0.3">
      <c r="A60" s="12"/>
      <c r="B60" s="33">
        <v>300000.01</v>
      </c>
      <c r="C60" s="33">
        <v>600000</v>
      </c>
      <c r="D60" s="29">
        <f>IF(F$48&gt;=C60,C60-C59,IF(F$48-B60&gt;0,F$48-C59,0))</f>
        <v>0</v>
      </c>
      <c r="E60" s="30">
        <v>0.11</v>
      </c>
      <c r="F60" s="29">
        <f t="shared" ref="F60:F64" si="0">D60*E60</f>
        <v>0</v>
      </c>
    </row>
    <row r="61" spans="1:11" customFormat="1" ht="20.25" customHeight="1" x14ac:dyDescent="0.3">
      <c r="A61" s="12"/>
      <c r="B61" s="33">
        <v>600000.01</v>
      </c>
      <c r="C61" s="33">
        <v>1100000</v>
      </c>
      <c r="D61" s="29">
        <f t="shared" ref="D61:D63" si="1">IF(F$48&gt;=C61,C61-C60,IF(F$48-B61&gt;0,F$48-C60,0))</f>
        <v>0</v>
      </c>
      <c r="E61" s="30">
        <v>0.15</v>
      </c>
      <c r="F61" s="29">
        <f t="shared" si="0"/>
        <v>0</v>
      </c>
    </row>
    <row r="62" spans="1:11" customFormat="1" ht="20.25" customHeight="1" x14ac:dyDescent="0.3">
      <c r="A62" s="12"/>
      <c r="B62" s="33">
        <v>1100000.01</v>
      </c>
      <c r="C62" s="33">
        <v>1600000</v>
      </c>
      <c r="D62" s="29">
        <f t="shared" si="1"/>
        <v>0</v>
      </c>
      <c r="E62" s="30">
        <v>0.19</v>
      </c>
      <c r="F62" s="29">
        <f t="shared" si="0"/>
        <v>0</v>
      </c>
    </row>
    <row r="63" spans="1:11" customFormat="1" ht="20.25" customHeight="1" x14ac:dyDescent="0.3">
      <c r="A63" s="12"/>
      <c r="B63" s="33">
        <v>1600000.01</v>
      </c>
      <c r="C63" s="33">
        <v>3200000</v>
      </c>
      <c r="D63" s="29">
        <f t="shared" si="1"/>
        <v>0</v>
      </c>
      <c r="E63" s="30">
        <v>0.21</v>
      </c>
      <c r="F63" s="29">
        <f t="shared" si="0"/>
        <v>0</v>
      </c>
    </row>
    <row r="64" spans="1:11" customFormat="1" ht="20.25" customHeight="1" x14ac:dyDescent="0.3">
      <c r="A64" s="12"/>
      <c r="B64" s="33">
        <v>3200000.01</v>
      </c>
      <c r="C64" s="39" t="s">
        <v>25</v>
      </c>
      <c r="D64" s="29">
        <f>IF(F$48&gt;=C64,C64-C63,IF(F$48-B64&gt;0,F$48-C63,0))</f>
        <v>0</v>
      </c>
      <c r="E64" s="30">
        <v>0.24</v>
      </c>
      <c r="F64" s="29">
        <f t="shared" si="0"/>
        <v>0</v>
      </c>
    </row>
    <row r="65" spans="1:6" customFormat="1" ht="20.25" customHeight="1" thickBot="1" x14ac:dyDescent="0.35">
      <c r="A65" s="12"/>
      <c r="B65" s="19"/>
      <c r="C65" s="19"/>
      <c r="D65" s="31">
        <f>SUM(D59:D64)</f>
        <v>0</v>
      </c>
      <c r="E65" s="32"/>
      <c r="F65" s="31">
        <f t="shared" ref="F65" si="2">SUM(F59:F64)</f>
        <v>0</v>
      </c>
    </row>
    <row r="66" spans="1:6" customFormat="1" ht="20.25" customHeight="1" x14ac:dyDescent="0.3">
      <c r="A66" s="12"/>
    </row>
    <row r="67" spans="1:6" ht="20.25" customHeight="1" x14ac:dyDescent="0.3"/>
    <row r="68" spans="1:6" customFormat="1" ht="20.25" customHeight="1" x14ac:dyDescent="0.3">
      <c r="A68" s="12"/>
      <c r="B68" s="80" t="s">
        <v>47</v>
      </c>
      <c r="C68" s="81"/>
      <c r="D68" s="81"/>
      <c r="E68" s="81"/>
      <c r="F68" s="81"/>
    </row>
    <row r="69" spans="1:6" customFormat="1" ht="20.25" customHeight="1" x14ac:dyDescent="0.3">
      <c r="A69" s="12"/>
      <c r="B69" s="81"/>
      <c r="C69" s="81"/>
      <c r="D69" s="81"/>
      <c r="E69" s="81"/>
      <c r="F69" s="81"/>
    </row>
    <row r="70" spans="1:6" ht="20.25" customHeight="1" x14ac:dyDescent="0.3">
      <c r="B70" s="81"/>
      <c r="C70" s="81"/>
      <c r="D70" s="81"/>
      <c r="E70" s="81"/>
      <c r="F70" s="81"/>
    </row>
    <row r="71" spans="1:6" ht="20.25" customHeight="1" x14ac:dyDescent="0.3">
      <c r="B71" s="81"/>
      <c r="C71" s="81"/>
      <c r="D71" s="81"/>
      <c r="E71" s="81"/>
      <c r="F71" s="81"/>
    </row>
    <row r="72" spans="1:6" ht="20.25" customHeight="1" x14ac:dyDescent="0.3">
      <c r="B72" s="81"/>
      <c r="C72" s="81"/>
      <c r="D72" s="81"/>
      <c r="E72" s="81"/>
      <c r="F72" s="81"/>
    </row>
    <row r="73" spans="1:6" ht="20.25" customHeight="1" x14ac:dyDescent="0.3">
      <c r="B73" s="81"/>
      <c r="C73" s="81"/>
      <c r="D73" s="81"/>
      <c r="E73" s="81"/>
      <c r="F73" s="81"/>
    </row>
    <row r="74" spans="1:6" ht="20.25" customHeight="1" x14ac:dyDescent="0.3"/>
    <row r="75" spans="1:6" ht="20.25" customHeight="1" x14ac:dyDescent="0.3"/>
    <row r="76" spans="1:6" ht="20.25" customHeight="1" x14ac:dyDescent="0.3"/>
    <row r="77" spans="1:6" ht="20.25" customHeight="1" x14ac:dyDescent="0.3"/>
    <row r="78" spans="1:6" ht="20.25" customHeight="1" x14ac:dyDescent="0.3"/>
    <row r="79" spans="1:6" ht="20.25" customHeight="1" x14ac:dyDescent="0.3"/>
    <row r="80" spans="1:6" ht="20.25" customHeight="1" x14ac:dyDescent="0.3"/>
    <row r="81" ht="20.25" customHeight="1" x14ac:dyDescent="0.3"/>
    <row r="82" ht="20.25" customHeight="1" x14ac:dyDescent="0.3"/>
    <row r="83" ht="20.25" customHeight="1" x14ac:dyDescent="0.3"/>
    <row r="84" ht="20.25" customHeight="1" x14ac:dyDescent="0.3"/>
    <row r="85" ht="20.25" customHeight="1" x14ac:dyDescent="0.3"/>
    <row r="86" ht="20.25" customHeight="1" x14ac:dyDescent="0.3"/>
    <row r="87" ht="20.25" customHeight="1" x14ac:dyDescent="0.3"/>
  </sheetData>
  <sheetProtection algorithmName="SHA-512" hashValue="1HuBydWAXR8lbd608ZGS+iVbFyGSjba34NfFQCImHYIR2yaPauA1gY8bryj2R/RD7s0iuX2JFYRddLAWAZe0lw==" saltValue="PRTwybEODiIf5FlSHSUVrw==" spinCount="100000" sheet="1" objects="1" scenarios="1" selectLockedCells="1"/>
  <mergeCells count="5">
    <mergeCell ref="B57:C57"/>
    <mergeCell ref="D57:D58"/>
    <mergeCell ref="E57:E58"/>
    <mergeCell ref="F57:F58"/>
    <mergeCell ref="B68:F73"/>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83"/>
  <sheetViews>
    <sheetView showGridLines="0" tabSelected="1" topLeftCell="B17" zoomScale="120" zoomScaleNormal="120" zoomScaleSheetLayoutView="100" workbookViewId="0">
      <selection activeCell="F40" sqref="F40"/>
    </sheetView>
  </sheetViews>
  <sheetFormatPr defaultColWidth="9.109375" defaultRowHeight="13.8" x14ac:dyDescent="0.3"/>
  <cols>
    <col min="1" max="1" width="8.6640625" style="10" customWidth="1"/>
    <col min="2" max="2" width="21.33203125" style="11" customWidth="1"/>
    <col min="3" max="5" width="19.6640625" style="11" customWidth="1"/>
    <col min="6" max="6" width="24.88671875" style="11" customWidth="1"/>
    <col min="7" max="7" width="9.88671875" style="11" customWidth="1"/>
    <col min="8" max="8" width="24.6640625" style="11" customWidth="1"/>
    <col min="9" max="9" width="13.6640625" style="11" customWidth="1"/>
    <col min="10" max="16384" width="9.109375" style="11"/>
  </cols>
  <sheetData>
    <row r="1" spans="1:20" customFormat="1" ht="14.4" x14ac:dyDescent="0.3">
      <c r="G1" s="5"/>
    </row>
    <row r="2" spans="1:20" customFormat="1" ht="18" x14ac:dyDescent="0.35">
      <c r="F2" s="74"/>
      <c r="G2" s="5"/>
    </row>
    <row r="3" spans="1:20" customFormat="1" ht="18" x14ac:dyDescent="0.35">
      <c r="F3" s="74"/>
      <c r="G3" s="5"/>
    </row>
    <row r="4" spans="1:20" customFormat="1" ht="18" x14ac:dyDescent="0.35">
      <c r="F4" s="74"/>
      <c r="G4" s="5"/>
    </row>
    <row r="5" spans="1:20" s="49" customFormat="1" ht="30" customHeight="1" x14ac:dyDescent="0.55000000000000004">
      <c r="B5" s="50" t="s">
        <v>88</v>
      </c>
      <c r="C5" s="48"/>
      <c r="D5" s="48"/>
      <c r="E5" s="48"/>
      <c r="F5" s="52" t="s">
        <v>40</v>
      </c>
    </row>
    <row r="6" spans="1:20" customFormat="1" ht="15.75" customHeight="1" x14ac:dyDescent="0.3">
      <c r="F6" s="5"/>
      <c r="S6" s="3"/>
      <c r="T6" s="3"/>
    </row>
    <row r="7" spans="1:20" s="6" customFormat="1" ht="20.25" customHeight="1" x14ac:dyDescent="0.3">
      <c r="B7" s="4" t="s">
        <v>16</v>
      </c>
      <c r="C7" s="4"/>
      <c r="D7" s="4"/>
      <c r="E7" s="4"/>
      <c r="F7" s="7"/>
      <c r="G7"/>
      <c r="H7"/>
      <c r="S7" s="8"/>
      <c r="T7" s="9"/>
    </row>
    <row r="8" spans="1:20" s="6" customFormat="1" ht="20.25" customHeight="1" x14ac:dyDescent="0.3">
      <c r="B8" s="4"/>
      <c r="C8" s="4"/>
      <c r="D8" s="4"/>
      <c r="E8" s="4"/>
      <c r="F8" s="7"/>
      <c r="G8"/>
      <c r="H8"/>
      <c r="S8" s="8"/>
      <c r="T8" s="9"/>
    </row>
    <row r="9" spans="1:20" s="6" customFormat="1" ht="20.25" customHeight="1" x14ac:dyDescent="0.3">
      <c r="B9" s="18" t="s">
        <v>30</v>
      </c>
      <c r="C9" s="4"/>
      <c r="D9" s="4"/>
      <c r="E9" s="4"/>
      <c r="F9" s="71">
        <v>5</v>
      </c>
      <c r="G9" s="58" t="s">
        <v>50</v>
      </c>
      <c r="H9"/>
      <c r="S9" s="8"/>
      <c r="T9" s="9"/>
    </row>
    <row r="10" spans="1:20" s="6" customFormat="1" ht="20.25" customHeight="1" x14ac:dyDescent="0.3">
      <c r="B10" s="18" t="s">
        <v>75</v>
      </c>
      <c r="C10" s="4"/>
      <c r="D10" s="4"/>
      <c r="E10" s="4"/>
      <c r="F10" s="72" t="s">
        <v>77</v>
      </c>
      <c r="G10" s="58"/>
      <c r="H10"/>
      <c r="S10" s="8"/>
      <c r="T10" s="9"/>
    </row>
    <row r="11" spans="1:20" s="6" customFormat="1" ht="20.25" customHeight="1" x14ac:dyDescent="0.3">
      <c r="B11" s="4"/>
      <c r="C11" s="4"/>
      <c r="D11" s="4"/>
      <c r="E11" s="4"/>
      <c r="F11" s="7"/>
      <c r="G11"/>
      <c r="J11" s="51"/>
      <c r="S11" s="8"/>
      <c r="T11" s="9"/>
    </row>
    <row r="12" spans="1:20" s="6" customFormat="1" ht="20.25" customHeight="1" x14ac:dyDescent="0.3">
      <c r="B12" s="4"/>
      <c r="C12" s="4"/>
      <c r="D12" s="4"/>
      <c r="E12" s="4"/>
      <c r="F12" s="46" t="s">
        <v>17</v>
      </c>
      <c r="G12"/>
      <c r="H12"/>
      <c r="S12" s="8"/>
      <c r="T12" s="9"/>
    </row>
    <row r="13" spans="1:20" customFormat="1" ht="20.25" customHeight="1" x14ac:dyDescent="0.3">
      <c r="A13" s="12"/>
      <c r="B13" s="13"/>
      <c r="C13" s="13"/>
      <c r="D13" s="13"/>
      <c r="E13" s="13"/>
      <c r="F13" s="45" t="s">
        <v>11</v>
      </c>
      <c r="J13" s="16"/>
    </row>
    <row r="14" spans="1:20" customFormat="1" ht="20.25" customHeight="1" x14ac:dyDescent="0.3">
      <c r="A14" s="17"/>
      <c r="B14" s="18" t="s">
        <v>9</v>
      </c>
      <c r="C14" s="18"/>
      <c r="D14" s="18"/>
      <c r="E14" s="18"/>
      <c r="F14" s="53">
        <v>60000</v>
      </c>
      <c r="G14" s="62"/>
      <c r="H14" s="62"/>
      <c r="J14" s="18"/>
    </row>
    <row r="15" spans="1:20" customFormat="1" ht="20.25" customHeight="1" x14ac:dyDescent="0.3">
      <c r="A15" s="17"/>
      <c r="B15" s="18" t="s">
        <v>81</v>
      </c>
      <c r="C15" s="18"/>
      <c r="D15" s="18"/>
      <c r="E15" s="18"/>
      <c r="F15" s="53"/>
      <c r="G15" s="62"/>
      <c r="H15" s="62"/>
      <c r="J15" s="18"/>
    </row>
    <row r="16" spans="1:20" customFormat="1" ht="20.25" customHeight="1" x14ac:dyDescent="0.3">
      <c r="A16" s="17"/>
      <c r="B16" s="19" t="s">
        <v>58</v>
      </c>
      <c r="C16" s="18"/>
      <c r="D16" s="18"/>
      <c r="E16" s="18"/>
      <c r="F16" s="63">
        <v>20000</v>
      </c>
      <c r="H16" s="76" t="str">
        <f>IF(F16=0,"-","NOTE: This periodic income option has a tax impact on the PAYE calculation of the employees who do not work the full tax year.")</f>
        <v>NOTE: This periodic income option has a tax impact on the PAYE calculation of the employees who do not work the full tax year.</v>
      </c>
      <c r="J16" s="18"/>
    </row>
    <row r="17" spans="1:10" customFormat="1" ht="20.25" customHeight="1" x14ac:dyDescent="0.3">
      <c r="A17" s="17"/>
      <c r="B17" s="19" t="s">
        <v>63</v>
      </c>
      <c r="C17" s="34"/>
      <c r="D17" s="34"/>
      <c r="E17" s="34"/>
      <c r="F17" s="75">
        <v>1000</v>
      </c>
      <c r="H17" s="77" t="str">
        <f>IF(F16=0,"-","Because the tax on the periodic earning is spread throughout the remaining periods in the tax year")</f>
        <v>Because the tax on the periodic earning is spread throughout the remaining periods in the tax year</v>
      </c>
      <c r="J17" s="20"/>
    </row>
    <row r="18" spans="1:10" customFormat="1" ht="20.25" customHeight="1" x14ac:dyDescent="0.3">
      <c r="A18" s="17"/>
      <c r="B18" s="19" t="s">
        <v>64</v>
      </c>
      <c r="C18" s="38"/>
      <c r="D18" s="38"/>
      <c r="E18" s="38"/>
      <c r="F18" s="75">
        <v>1000</v>
      </c>
      <c r="G18" s="62"/>
      <c r="H18" s="62"/>
      <c r="J18" s="18"/>
    </row>
    <row r="19" spans="1:10" customFormat="1" ht="20.25" customHeight="1" x14ac:dyDescent="0.3">
      <c r="A19" s="17"/>
      <c r="B19" s="21" t="s">
        <v>55</v>
      </c>
      <c r="C19" s="21"/>
      <c r="D19" s="21"/>
      <c r="E19" s="21"/>
      <c r="F19" s="22">
        <f>SUM(F14:F18)</f>
        <v>82000</v>
      </c>
      <c r="G19" s="62"/>
      <c r="H19" s="62"/>
      <c r="J19" s="18"/>
    </row>
    <row r="20" spans="1:10" customFormat="1" ht="20.25" customHeight="1" x14ac:dyDescent="0.3">
      <c r="A20" s="17"/>
      <c r="B20" s="21"/>
      <c r="C20" s="21"/>
      <c r="D20" s="21"/>
      <c r="E20" s="21"/>
      <c r="F20" s="23"/>
      <c r="G20" s="62"/>
      <c r="H20" s="62"/>
      <c r="J20" s="18"/>
    </row>
    <row r="21" spans="1:10" customFormat="1" ht="20.25" customHeight="1" x14ac:dyDescent="0.3">
      <c r="A21" s="17"/>
      <c r="B21" s="19" t="s">
        <v>80</v>
      </c>
      <c r="C21" s="19"/>
      <c r="D21" s="19"/>
      <c r="E21" s="19"/>
      <c r="F21" s="18">
        <f>(F14+F15+F17)*12/F9</f>
        <v>146400</v>
      </c>
      <c r="G21" s="62"/>
      <c r="H21" s="62"/>
      <c r="J21" s="18"/>
    </row>
    <row r="22" spans="1:10" customFormat="1" ht="20.25" customHeight="1" x14ac:dyDescent="0.3">
      <c r="A22" s="17"/>
      <c r="B22" s="19" t="s">
        <v>72</v>
      </c>
      <c r="C22" s="19"/>
      <c r="D22" s="19"/>
      <c r="E22" s="19"/>
      <c r="F22" s="18">
        <f>F16+F18</f>
        <v>21000</v>
      </c>
      <c r="G22" s="62"/>
      <c r="H22" s="62"/>
      <c r="J22" s="18"/>
    </row>
    <row r="23" spans="1:10" customFormat="1" ht="20.25" customHeight="1" x14ac:dyDescent="0.3">
      <c r="A23" s="17"/>
      <c r="B23" s="21" t="s">
        <v>56</v>
      </c>
      <c r="C23" s="21"/>
      <c r="D23" s="21"/>
      <c r="E23" s="21"/>
      <c r="F23" s="22">
        <f>SUM(F21:F22)</f>
        <v>167400</v>
      </c>
      <c r="G23" s="62"/>
      <c r="H23" s="62"/>
      <c r="J23" s="18"/>
    </row>
    <row r="24" spans="1:10" customFormat="1" ht="20.25" customHeight="1" x14ac:dyDescent="0.3">
      <c r="A24" s="17"/>
      <c r="B24" s="21"/>
      <c r="C24" s="21"/>
      <c r="D24" s="21"/>
      <c r="E24" s="21"/>
      <c r="F24" s="23"/>
      <c r="G24" s="62"/>
      <c r="H24" s="62"/>
      <c r="J24" s="18"/>
    </row>
    <row r="25" spans="1:10" customFormat="1" ht="20.25" customHeight="1" x14ac:dyDescent="0.3">
      <c r="A25" s="17"/>
      <c r="B25" s="19" t="s">
        <v>59</v>
      </c>
      <c r="C25" s="19"/>
      <c r="D25" s="19"/>
      <c r="E25" s="19"/>
      <c r="F25" s="18">
        <f>F14+F15</f>
        <v>60000</v>
      </c>
      <c r="G25" s="62"/>
      <c r="J25" s="18"/>
    </row>
    <row r="26" spans="1:10" customFormat="1" ht="20.25" customHeight="1" x14ac:dyDescent="0.3">
      <c r="A26" s="17"/>
      <c r="B26" s="21" t="s">
        <v>79</v>
      </c>
      <c r="C26" s="21"/>
      <c r="D26" s="21"/>
      <c r="E26" s="21"/>
      <c r="F26" s="23">
        <f>F25*12/F9</f>
        <v>144000</v>
      </c>
      <c r="J26" s="18"/>
    </row>
    <row r="27" spans="1:10" customFormat="1" ht="20.25" customHeight="1" x14ac:dyDescent="0.3">
      <c r="A27" s="17"/>
      <c r="B27" s="19" t="s">
        <v>60</v>
      </c>
      <c r="C27" s="19"/>
      <c r="D27" s="19"/>
      <c r="E27" s="19"/>
      <c r="F27" s="18">
        <f>F16</f>
        <v>20000</v>
      </c>
      <c r="G27" s="62"/>
      <c r="J27" s="18"/>
    </row>
    <row r="28" spans="1:10" customFormat="1" ht="20.25" customHeight="1" x14ac:dyDescent="0.3">
      <c r="A28" s="17"/>
      <c r="B28" s="21" t="s">
        <v>69</v>
      </c>
      <c r="C28" s="21"/>
      <c r="D28" s="21"/>
      <c r="E28" s="21"/>
      <c r="F28" s="22">
        <f>F26+F27</f>
        <v>164000</v>
      </c>
      <c r="J28" s="18"/>
    </row>
    <row r="29" spans="1:10" customFormat="1" ht="20.25" customHeight="1" x14ac:dyDescent="0.3">
      <c r="A29" s="17"/>
      <c r="F29" s="23"/>
      <c r="J29" s="18"/>
    </row>
    <row r="30" spans="1:10" customFormat="1" ht="20.25" customHeight="1" x14ac:dyDescent="0.3">
      <c r="A30" s="17"/>
      <c r="B30" s="24" t="s">
        <v>66</v>
      </c>
      <c r="C30" s="24"/>
      <c r="D30" s="24"/>
      <c r="E30" s="24"/>
      <c r="F30" s="18">
        <f>F23*0.2</f>
        <v>33480</v>
      </c>
      <c r="J30" s="18"/>
    </row>
    <row r="31" spans="1:10" customFormat="1" ht="20.25" hidden="1" customHeight="1" x14ac:dyDescent="0.3">
      <c r="A31" s="17"/>
      <c r="B31" s="35" t="s">
        <v>34</v>
      </c>
      <c r="C31" s="36"/>
      <c r="D31" s="36"/>
      <c r="E31" s="36"/>
      <c r="F31" s="36">
        <v>200000</v>
      </c>
      <c r="J31" s="18"/>
    </row>
    <row r="32" spans="1:10" customFormat="1" ht="20.25" hidden="1" customHeight="1" x14ac:dyDescent="0.3">
      <c r="A32" s="17"/>
      <c r="B32" s="36" t="s">
        <v>23</v>
      </c>
      <c r="C32" s="36"/>
      <c r="D32" s="36"/>
      <c r="E32" s="36"/>
      <c r="F32" s="36">
        <f>0.01*F23</f>
        <v>1674</v>
      </c>
      <c r="J32" s="18"/>
    </row>
    <row r="33" spans="1:10" customFormat="1" ht="20.25" customHeight="1" x14ac:dyDescent="0.3">
      <c r="A33" s="17"/>
      <c r="B33" s="18" t="s">
        <v>67</v>
      </c>
      <c r="C33" s="18"/>
      <c r="D33" s="18"/>
      <c r="E33" s="18"/>
      <c r="F33" s="18">
        <f>IF(F23=0,0,IF(F31&gt;F32,F31,F32))</f>
        <v>200000</v>
      </c>
      <c r="J33" s="18"/>
    </row>
    <row r="34" spans="1:10" customFormat="1" ht="20.25" customHeight="1" x14ac:dyDescent="0.3">
      <c r="A34" s="17"/>
      <c r="B34" s="21" t="s">
        <v>68</v>
      </c>
      <c r="C34" s="19"/>
      <c r="D34" s="19"/>
      <c r="E34" s="19"/>
      <c r="F34" s="22">
        <f>F30+F33</f>
        <v>233480</v>
      </c>
      <c r="J34" s="25"/>
    </row>
    <row r="35" spans="1:10" customFormat="1" ht="20.25" customHeight="1" x14ac:dyDescent="0.3">
      <c r="A35" s="17"/>
      <c r="B35" s="21"/>
      <c r="C35" s="21"/>
      <c r="D35" s="21"/>
      <c r="E35" s="21"/>
      <c r="F35" s="23"/>
      <c r="J35" s="18"/>
    </row>
    <row r="36" spans="1:10" s="67" customFormat="1" ht="20.25" customHeight="1" x14ac:dyDescent="0.3">
      <c r="A36" s="64"/>
      <c r="B36" s="65" t="s">
        <v>84</v>
      </c>
      <c r="C36" s="66"/>
      <c r="D36" s="66"/>
      <c r="E36" s="66"/>
      <c r="F36" s="69">
        <f>IF(F23&gt;0,IF(F10="YES",3000,0),0)</f>
        <v>0</v>
      </c>
      <c r="J36" s="68"/>
    </row>
    <row r="37" spans="1:10" s="67" customFormat="1" ht="20.25" customHeight="1" x14ac:dyDescent="0.3">
      <c r="A37" s="64"/>
      <c r="B37" s="65" t="s">
        <v>73</v>
      </c>
      <c r="C37" s="66"/>
      <c r="D37" s="66"/>
      <c r="E37" s="66"/>
      <c r="F37" s="69">
        <f>IF(F10="YES",0.2*F23,0)</f>
        <v>0</v>
      </c>
      <c r="J37" s="68"/>
    </row>
    <row r="38" spans="1:10" s="67" customFormat="1" ht="20.25" customHeight="1" x14ac:dyDescent="0.3">
      <c r="A38" s="64"/>
      <c r="B38" s="66" t="s">
        <v>74</v>
      </c>
      <c r="C38" s="66"/>
      <c r="D38" s="66"/>
      <c r="E38" s="66"/>
      <c r="F38" s="70">
        <f>IF(F36&gt;F37,F36,F37)</f>
        <v>0</v>
      </c>
      <c r="J38" s="68"/>
    </row>
    <row r="39" spans="1:10" customFormat="1" ht="20.25" customHeight="1" x14ac:dyDescent="0.3">
      <c r="A39" s="17"/>
      <c r="B39" s="21"/>
      <c r="C39" s="21"/>
      <c r="D39" s="21"/>
      <c r="E39" s="21"/>
      <c r="F39" s="23"/>
      <c r="J39" s="18"/>
    </row>
    <row r="40" spans="1:10" customFormat="1" ht="20.25" customHeight="1" x14ac:dyDescent="0.3">
      <c r="A40" s="17"/>
      <c r="B40" s="18" t="s">
        <v>85</v>
      </c>
      <c r="C40" s="18"/>
      <c r="D40" s="18"/>
      <c r="E40" s="18"/>
      <c r="F40" s="53">
        <v>3157424</v>
      </c>
      <c r="J40" s="18"/>
    </row>
    <row r="41" spans="1:10" customFormat="1" ht="20.25" customHeight="1" x14ac:dyDescent="0.3">
      <c r="A41" s="17"/>
      <c r="B41" s="2" t="s">
        <v>82</v>
      </c>
      <c r="C41" s="23"/>
      <c r="D41" s="23"/>
      <c r="E41" s="23"/>
      <c r="F41" s="23">
        <f>F40*12/F9</f>
        <v>7577817.5999999996</v>
      </c>
      <c r="J41" s="18"/>
    </row>
    <row r="42" spans="1:10" customFormat="1" ht="20.25" customHeight="1" x14ac:dyDescent="0.3">
      <c r="A42" s="17"/>
      <c r="B42" s="23"/>
      <c r="C42" s="23"/>
      <c r="D42" s="23"/>
      <c r="E42" s="23"/>
      <c r="F42" s="23"/>
      <c r="J42" s="18"/>
    </row>
    <row r="43" spans="1:10" customFormat="1" ht="20.25" customHeight="1" x14ac:dyDescent="0.3">
      <c r="A43" s="47"/>
      <c r="B43" s="21" t="s">
        <v>70</v>
      </c>
      <c r="C43" s="21"/>
      <c r="D43" s="21"/>
      <c r="E43" s="21"/>
      <c r="F43" s="23">
        <f>F41+F34+F38</f>
        <v>7811297.5999999996</v>
      </c>
      <c r="J43" s="18"/>
    </row>
    <row r="44" spans="1:10" customFormat="1" ht="20.25" customHeight="1" x14ac:dyDescent="0.3">
      <c r="A44" s="47"/>
      <c r="B44" s="19"/>
      <c r="C44" s="19"/>
      <c r="D44" s="19"/>
      <c r="E44" s="19"/>
      <c r="F44" s="18"/>
      <c r="J44" s="18"/>
    </row>
    <row r="45" spans="1:10" customFormat="1" ht="20.25" customHeight="1" x14ac:dyDescent="0.3">
      <c r="A45" s="47"/>
      <c r="B45" s="21" t="s">
        <v>71</v>
      </c>
      <c r="C45" s="21"/>
      <c r="D45" s="21"/>
      <c r="E45" s="21"/>
      <c r="F45" s="23">
        <f>IF(F43&gt;=F28,0,F28-F43)</f>
        <v>0</v>
      </c>
      <c r="J45" s="18"/>
    </row>
    <row r="46" spans="1:10" customFormat="1" ht="20.25" customHeight="1" x14ac:dyDescent="0.3">
      <c r="A46" s="47"/>
      <c r="B46" s="19"/>
      <c r="C46" s="19"/>
      <c r="D46" s="19"/>
      <c r="E46" s="19"/>
      <c r="F46" s="18"/>
      <c r="J46" s="18"/>
    </row>
    <row r="47" spans="1:10" customFormat="1" ht="20.25" customHeight="1" x14ac:dyDescent="0.3">
      <c r="A47" s="17"/>
      <c r="B47" s="21" t="s">
        <v>35</v>
      </c>
      <c r="C47" s="21"/>
      <c r="D47" s="21"/>
      <c r="E47" s="21"/>
      <c r="F47" s="23">
        <f>IF(F62&lt;(0.01*F23),0,F62)</f>
        <v>0</v>
      </c>
    </row>
    <row r="48" spans="1:10" customFormat="1" ht="20.25" customHeight="1" x14ac:dyDescent="0.3">
      <c r="A48" s="17"/>
      <c r="B48" s="60" t="s">
        <v>78</v>
      </c>
      <c r="C48" s="21"/>
      <c r="D48" s="21"/>
      <c r="E48" s="21"/>
      <c r="F48" s="73">
        <f>IF(F47&lt;(0.01*F23),0.01*F23,0)</f>
        <v>1674</v>
      </c>
    </row>
    <row r="49" spans="1:8" customFormat="1" ht="20.25" customHeight="1" x14ac:dyDescent="0.3">
      <c r="A49" s="17"/>
      <c r="B49" s="19" t="s">
        <v>61</v>
      </c>
      <c r="C49" s="19"/>
      <c r="D49" s="19"/>
      <c r="E49" s="19"/>
      <c r="F49" s="18">
        <f>IF(F47&lt;(0.01*F23),F48/12*F9,F47/12*F9)</f>
        <v>697.5</v>
      </c>
      <c r="H49" s="1"/>
    </row>
    <row r="50" spans="1:8" customFormat="1" ht="20.25" customHeight="1" x14ac:dyDescent="0.3">
      <c r="A50" s="17"/>
      <c r="B50" s="1" t="s">
        <v>44</v>
      </c>
      <c r="C50" s="21"/>
      <c r="D50" s="21"/>
      <c r="E50" s="21"/>
      <c r="F50" s="53">
        <v>65803</v>
      </c>
      <c r="H50" s="21"/>
    </row>
    <row r="51" spans="1:8" customFormat="1" ht="20.25" customHeight="1" x14ac:dyDescent="0.3">
      <c r="A51" s="17"/>
      <c r="B51" s="21" t="s">
        <v>7</v>
      </c>
      <c r="C51" s="21"/>
      <c r="D51" s="21"/>
      <c r="E51" s="21"/>
      <c r="F51" s="22">
        <f>F49-F50</f>
        <v>-65105.5</v>
      </c>
    </row>
    <row r="52" spans="1:8" customFormat="1" ht="20.25" customHeight="1" x14ac:dyDescent="0.3">
      <c r="A52" s="17"/>
      <c r="B52" s="21"/>
      <c r="C52" s="21"/>
      <c r="D52" s="21"/>
      <c r="E52" s="21"/>
      <c r="F52" s="23"/>
    </row>
    <row r="53" spans="1:8" customFormat="1" ht="20.25" customHeight="1" x14ac:dyDescent="0.3">
      <c r="A53" s="12"/>
      <c r="B53" s="28"/>
      <c r="C53" s="28"/>
      <c r="D53" s="28"/>
      <c r="E53" s="28"/>
      <c r="F53" s="27"/>
    </row>
    <row r="54" spans="1:8" customFormat="1" ht="20.25" customHeight="1" x14ac:dyDescent="0.3">
      <c r="A54" s="12"/>
      <c r="B54" s="78" t="s">
        <v>8</v>
      </c>
      <c r="C54" s="78"/>
      <c r="D54" s="79" t="s">
        <v>2</v>
      </c>
      <c r="E54" s="79" t="s">
        <v>3</v>
      </c>
      <c r="F54" s="79" t="s">
        <v>4</v>
      </c>
    </row>
    <row r="55" spans="1:8" customFormat="1" ht="20.25" customHeight="1" x14ac:dyDescent="0.3">
      <c r="A55" s="12"/>
      <c r="B55" s="43" t="s">
        <v>26</v>
      </c>
      <c r="C55" s="43" t="s">
        <v>27</v>
      </c>
      <c r="D55" s="79"/>
      <c r="E55" s="79"/>
      <c r="F55" s="79"/>
    </row>
    <row r="56" spans="1:8" customFormat="1" ht="20.25" customHeight="1" x14ac:dyDescent="0.3">
      <c r="A56" s="12"/>
      <c r="B56" s="40">
        <v>0</v>
      </c>
      <c r="C56" s="40">
        <v>300000</v>
      </c>
      <c r="D56" s="41">
        <f>IF(F45&lt;=C56,F45,C56)</f>
        <v>0</v>
      </c>
      <c r="E56" s="42">
        <v>7.0000000000000007E-2</v>
      </c>
      <c r="F56" s="41">
        <f>D56*E56</f>
        <v>0</v>
      </c>
    </row>
    <row r="57" spans="1:8" customFormat="1" ht="20.25" customHeight="1" x14ac:dyDescent="0.3">
      <c r="A57" s="12"/>
      <c r="B57" s="33">
        <v>300000.01</v>
      </c>
      <c r="C57" s="33">
        <v>600000</v>
      </c>
      <c r="D57" s="29">
        <f>IF(F$45&gt;=C57,C57-C56,IF(F$45-B57&gt;0,F$45-C56,0))</f>
        <v>0</v>
      </c>
      <c r="E57" s="30">
        <v>0.11</v>
      </c>
      <c r="F57" s="29">
        <f t="shared" ref="F57:F61" si="0">D57*E57</f>
        <v>0</v>
      </c>
    </row>
    <row r="58" spans="1:8" customFormat="1" ht="20.25" customHeight="1" x14ac:dyDescent="0.3">
      <c r="A58" s="12"/>
      <c r="B58" s="33">
        <v>600000.01</v>
      </c>
      <c r="C58" s="33">
        <v>1100000</v>
      </c>
      <c r="D58" s="29">
        <f t="shared" ref="D58:D60" si="1">IF(F$45&gt;=C58,C58-C57,IF(F$45-B58&gt;0,F$45-C57,0))</f>
        <v>0</v>
      </c>
      <c r="E58" s="30">
        <v>0.15</v>
      </c>
      <c r="F58" s="29">
        <f t="shared" si="0"/>
        <v>0</v>
      </c>
    </row>
    <row r="59" spans="1:8" customFormat="1" ht="20.25" customHeight="1" x14ac:dyDescent="0.3">
      <c r="A59" s="12"/>
      <c r="B59" s="33">
        <v>1100000.01</v>
      </c>
      <c r="C59" s="33">
        <v>1600000</v>
      </c>
      <c r="D59" s="29">
        <f t="shared" si="1"/>
        <v>0</v>
      </c>
      <c r="E59" s="30">
        <v>0.19</v>
      </c>
      <c r="F59" s="29">
        <f t="shared" si="0"/>
        <v>0</v>
      </c>
    </row>
    <row r="60" spans="1:8" customFormat="1" ht="20.25" customHeight="1" x14ac:dyDescent="0.3">
      <c r="A60" s="12"/>
      <c r="B60" s="33">
        <v>1600000.01</v>
      </c>
      <c r="C60" s="33">
        <v>3200000</v>
      </c>
      <c r="D60" s="29">
        <f t="shared" si="1"/>
        <v>0</v>
      </c>
      <c r="E60" s="30">
        <v>0.21</v>
      </c>
      <c r="F60" s="29">
        <f t="shared" si="0"/>
        <v>0</v>
      </c>
    </row>
    <row r="61" spans="1:8" customFormat="1" ht="20.25" customHeight="1" x14ac:dyDescent="0.3">
      <c r="A61" s="12"/>
      <c r="B61" s="33">
        <v>3200000.01</v>
      </c>
      <c r="C61" s="39" t="s">
        <v>25</v>
      </c>
      <c r="D61" s="29">
        <f>IF(F$45&gt;=C61,C61-C60,IF(F$45-B61&gt;0,F$45-C60,0))</f>
        <v>0</v>
      </c>
      <c r="E61" s="30">
        <v>0.24</v>
      </c>
      <c r="F61" s="29">
        <f t="shared" si="0"/>
        <v>0</v>
      </c>
    </row>
    <row r="62" spans="1:8" customFormat="1" ht="20.25" customHeight="1" thickBot="1" x14ac:dyDescent="0.35">
      <c r="A62" s="12"/>
      <c r="B62" s="19"/>
      <c r="C62" s="19"/>
      <c r="D62" s="31">
        <f>SUM(D56:D61)</f>
        <v>0</v>
      </c>
      <c r="E62" s="32"/>
      <c r="F62" s="31">
        <f t="shared" ref="F62" si="2">SUM(F56:F61)</f>
        <v>0</v>
      </c>
    </row>
    <row r="63" spans="1:8" customFormat="1" ht="20.25" customHeight="1" x14ac:dyDescent="0.3">
      <c r="A63" s="12"/>
    </row>
    <row r="64" spans="1:8" customFormat="1" ht="20.25" customHeight="1" x14ac:dyDescent="0.3">
      <c r="A64" s="12"/>
      <c r="B64" s="80" t="s">
        <v>47</v>
      </c>
      <c r="C64" s="81"/>
      <c r="D64" s="81"/>
      <c r="E64" s="81"/>
      <c r="F64" s="81"/>
    </row>
    <row r="65" spans="1:20" customFormat="1" ht="20.25" customHeight="1" x14ac:dyDescent="0.3">
      <c r="A65" s="12"/>
      <c r="B65" s="81"/>
      <c r="C65" s="81"/>
      <c r="D65" s="81"/>
      <c r="E65" s="81"/>
      <c r="F65" s="81"/>
    </row>
    <row r="66" spans="1:20" ht="20.25" customHeight="1" x14ac:dyDescent="0.3">
      <c r="B66" s="81"/>
      <c r="C66" s="81"/>
      <c r="D66" s="81"/>
      <c r="E66" s="81"/>
      <c r="F66" s="81"/>
    </row>
    <row r="67" spans="1:20" ht="20.25" customHeight="1" x14ac:dyDescent="0.3">
      <c r="B67" s="81"/>
      <c r="C67" s="81"/>
      <c r="D67" s="81"/>
      <c r="E67" s="81"/>
      <c r="F67" s="81"/>
    </row>
    <row r="68" spans="1:20" ht="20.25" customHeight="1" x14ac:dyDescent="0.3">
      <c r="B68" s="81"/>
      <c r="C68" s="81"/>
      <c r="D68" s="81"/>
      <c r="E68" s="81"/>
      <c r="F68" s="81"/>
    </row>
    <row r="69" spans="1:20" ht="20.25" customHeight="1" x14ac:dyDescent="0.3">
      <c r="B69" s="81"/>
      <c r="C69" s="81"/>
      <c r="D69" s="81"/>
      <c r="E69" s="81"/>
      <c r="F69" s="81"/>
    </row>
    <row r="70" spans="1:20" ht="20.25" customHeight="1" x14ac:dyDescent="0.3"/>
    <row r="71" spans="1:20" ht="20.25" customHeight="1" x14ac:dyDescent="0.3"/>
    <row r="72" spans="1:20" ht="20.25" customHeight="1" x14ac:dyDescent="0.3"/>
    <row r="73" spans="1:20" ht="20.25" customHeight="1" x14ac:dyDescent="0.3"/>
    <row r="74" spans="1:20" ht="20.25" customHeight="1" x14ac:dyDescent="0.3"/>
    <row r="75" spans="1:20" ht="20.25" customHeight="1" x14ac:dyDescent="0.3"/>
    <row r="76" spans="1:20" ht="20.25" customHeight="1" x14ac:dyDescent="0.3"/>
    <row r="77" spans="1:20" s="10" customFormat="1" ht="20.25" customHeight="1" x14ac:dyDescent="0.3">
      <c r="B77" s="11"/>
      <c r="C77" s="11"/>
      <c r="D77" s="11"/>
      <c r="E77" s="11"/>
      <c r="F77" s="11"/>
      <c r="G77" s="11"/>
      <c r="H77" s="11"/>
      <c r="I77" s="11"/>
      <c r="J77" s="11"/>
      <c r="K77" s="11"/>
      <c r="L77" s="11"/>
      <c r="M77" s="11"/>
      <c r="N77" s="11"/>
      <c r="O77" s="11"/>
      <c r="P77" s="11"/>
      <c r="Q77" s="11"/>
      <c r="R77" s="11"/>
      <c r="S77" s="11"/>
      <c r="T77" s="11"/>
    </row>
    <row r="78" spans="1:20" s="10" customFormat="1" ht="20.25" customHeight="1" x14ac:dyDescent="0.3">
      <c r="B78" s="11"/>
      <c r="C78" s="11"/>
      <c r="D78" s="11"/>
      <c r="E78" s="11"/>
      <c r="F78" s="11"/>
      <c r="G78" s="11"/>
      <c r="H78" s="11"/>
      <c r="I78" s="11"/>
      <c r="J78" s="11"/>
      <c r="K78" s="11"/>
      <c r="L78" s="11"/>
      <c r="M78" s="11"/>
      <c r="N78" s="11"/>
      <c r="O78" s="11"/>
      <c r="P78" s="11"/>
      <c r="Q78" s="11"/>
      <c r="R78" s="11"/>
      <c r="S78" s="11"/>
      <c r="T78" s="11"/>
    </row>
    <row r="79" spans="1:20" s="10" customFormat="1" ht="20.25" customHeight="1" x14ac:dyDescent="0.3">
      <c r="B79" s="11"/>
      <c r="C79" s="11"/>
      <c r="D79" s="11"/>
      <c r="E79" s="11"/>
      <c r="F79" s="11"/>
      <c r="G79" s="11"/>
      <c r="H79" s="11"/>
      <c r="I79" s="11"/>
      <c r="J79" s="11"/>
      <c r="K79" s="11"/>
      <c r="L79" s="11"/>
      <c r="M79" s="11"/>
      <c r="N79" s="11"/>
      <c r="O79" s="11"/>
      <c r="P79" s="11"/>
      <c r="Q79" s="11"/>
      <c r="R79" s="11"/>
      <c r="S79" s="11"/>
      <c r="T79" s="11"/>
    </row>
    <row r="80" spans="1:20" s="10" customFormat="1" ht="20.25" customHeight="1" x14ac:dyDescent="0.3">
      <c r="B80" s="11"/>
      <c r="C80" s="11"/>
      <c r="D80" s="11"/>
      <c r="E80" s="11"/>
      <c r="F80" s="11"/>
      <c r="G80" s="11"/>
      <c r="H80" s="11"/>
      <c r="I80" s="11"/>
      <c r="J80" s="11"/>
      <c r="K80" s="11"/>
      <c r="L80" s="11"/>
      <c r="M80" s="11"/>
      <c r="N80" s="11"/>
      <c r="O80" s="11"/>
      <c r="P80" s="11"/>
      <c r="Q80" s="11"/>
      <c r="R80" s="11"/>
      <c r="S80" s="11"/>
      <c r="T80" s="11"/>
    </row>
    <row r="81" spans="2:20" s="10" customFormat="1" ht="20.25" customHeight="1" x14ac:dyDescent="0.3">
      <c r="B81" s="11"/>
      <c r="C81" s="11"/>
      <c r="D81" s="11"/>
      <c r="E81" s="11"/>
      <c r="F81" s="11"/>
      <c r="G81" s="11"/>
      <c r="H81" s="11"/>
      <c r="I81" s="11"/>
      <c r="J81" s="11"/>
      <c r="K81" s="11"/>
      <c r="L81" s="11"/>
      <c r="M81" s="11"/>
      <c r="N81" s="11"/>
      <c r="O81" s="11"/>
      <c r="P81" s="11"/>
      <c r="Q81" s="11"/>
      <c r="R81" s="11"/>
      <c r="S81" s="11"/>
      <c r="T81" s="11"/>
    </row>
    <row r="82" spans="2:20" s="10" customFormat="1" ht="20.25" customHeight="1" x14ac:dyDescent="0.3">
      <c r="B82" s="11"/>
      <c r="C82" s="11"/>
      <c r="D82" s="11"/>
      <c r="E82" s="11"/>
      <c r="F82" s="11"/>
      <c r="G82" s="11"/>
      <c r="H82" s="11"/>
      <c r="I82" s="11"/>
      <c r="J82" s="11"/>
      <c r="K82" s="11"/>
      <c r="L82" s="11"/>
      <c r="M82" s="11"/>
      <c r="N82" s="11"/>
      <c r="O82" s="11"/>
      <c r="P82" s="11"/>
      <c r="Q82" s="11"/>
      <c r="R82" s="11"/>
      <c r="S82" s="11"/>
      <c r="T82" s="11"/>
    </row>
    <row r="83" spans="2:20" s="10" customFormat="1" ht="20.25" customHeight="1" x14ac:dyDescent="0.3">
      <c r="B83" s="11"/>
      <c r="C83" s="11"/>
      <c r="D83" s="11"/>
      <c r="E83" s="11"/>
      <c r="F83" s="11"/>
      <c r="G83" s="11"/>
      <c r="H83" s="11"/>
      <c r="I83" s="11"/>
      <c r="J83" s="11"/>
      <c r="K83" s="11"/>
      <c r="L83" s="11"/>
      <c r="M83" s="11"/>
      <c r="N83" s="11"/>
      <c r="O83" s="11"/>
      <c r="P83" s="11"/>
      <c r="Q83" s="11"/>
      <c r="R83" s="11"/>
      <c r="S83" s="11"/>
      <c r="T83" s="11"/>
    </row>
  </sheetData>
  <sheetProtection algorithmName="SHA-512" hashValue="P0sA3m8GEgVTDpR4g/WDBbiglrZFcJ2cro2BYM/aV8Xt7wB0A7B0XZY8ojOJLkjCbcMpPm2qa7IntHlRllT12A==" saltValue="0CwxkOYGnTT+5l8ZQB99gg==" spinCount="100000" sheet="1" objects="1" scenarios="1" selectLockedCells="1"/>
  <mergeCells count="5">
    <mergeCell ref="B54:C54"/>
    <mergeCell ref="D54:D55"/>
    <mergeCell ref="E54:E55"/>
    <mergeCell ref="F54:F55"/>
    <mergeCell ref="B64:F69"/>
  </mergeCells>
  <dataValidations count="1">
    <dataValidation type="list" allowBlank="1" showErrorMessage="1" errorTitle="QUESTION" error="Please select from the options provided in the drop down list." sqref="F10" xr:uid="{00000000-0002-0000-02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4" sqref="I34"/>
    </sheetView>
  </sheetViews>
  <sheetFormatPr defaultRowHeight="14.4" x14ac:dyDescent="0.3"/>
  <sheetData>
    <row r="1" spans="1:1" x14ac:dyDescent="0.3">
      <c r="A1" t="s">
        <v>76</v>
      </c>
    </row>
    <row r="2" spans="1:1" x14ac:dyDescent="0.3">
      <c r="A2"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1" ma:contentTypeDescription="Create a new document." ma:contentTypeScope="" ma:versionID="0a5ea0cc9b3e209731c3548595df0ff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38ca90059f0c06529aebd84f0c554850"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SyracuseOfficeCustomData>{"createMode":"plain_doc","forceRefresh":"0"}</SyracuseOfficeCustom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1E914-FC94-4AE4-8F49-2140DE0AA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4A086D-2189-4245-87F0-D474BEBF2750}">
  <ds:schemaRefs>
    <ds:schemaRef ds:uri="http://purl.org/dc/elements/1.1/"/>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0291ebb-8fd5-4a4a-b5a6-ec5249e68ab7"/>
    <ds:schemaRef ds:uri="71037282-4172-42af-8e02-c41ee92b063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FD9679A-62E5-42AE-9599-437BBBFB58AA}">
  <ds:schemaRefs/>
</ds:datastoreItem>
</file>

<file path=customXml/itemProps4.xml><?xml version="1.0" encoding="utf-8"?>
<ds:datastoreItem xmlns:ds="http://schemas.openxmlformats.org/officeDocument/2006/customXml" ds:itemID="{3CB0C2F3-4A6F-450D-98F5-3C77817D6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Monthly Calc</vt:lpstr>
      <vt:lpstr>YTD Calc Days</vt:lpstr>
      <vt:lpstr>YTD Calc with periodics</vt:lpstr>
      <vt:lpstr>QUESTION</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Moonsamy, Clinton</cp:lastModifiedBy>
  <cp:lastPrinted>2015-03-11T06:41:29Z</cp:lastPrinted>
  <dcterms:created xsi:type="dcterms:W3CDTF">2011-10-12T07:08:14Z</dcterms:created>
  <dcterms:modified xsi:type="dcterms:W3CDTF">2019-08-22T07:59:27Z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AuthorIds_UIVersion_2048">
    <vt:lpwstr>3282</vt:lpwstr>
  </property>
</Properties>
</file>